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pCont\Desktop\"/>
    </mc:Choice>
  </mc:AlternateContent>
  <xr:revisionPtr revIDLastSave="0" documentId="13_ncr:1_{B56D4F7D-2555-40C8-9924-A7D4994023A2}" xr6:coauthVersionLast="45" xr6:coauthVersionMax="45" xr10:uidLastSave="{00000000-0000-0000-0000-000000000000}"/>
  <bookViews>
    <workbookView xWindow="20370" yWindow="-120" windowWidth="20730" windowHeight="11160" tabRatio="645" xr2:uid="{00000000-000D-0000-FFFF-FFFF00000000}"/>
  </bookViews>
  <sheets>
    <sheet name="INSTRUÇÕES" sheetId="14" r:id="rId1"/>
    <sheet name="CÁLCULO" sheetId="9" r:id="rId2"/>
    <sheet name="1 Faturamentos" sheetId="5" state="hidden" r:id="rId3"/>
    <sheet name="2 Planejamento" sheetId="1" state="hidden" r:id="rId4"/>
    <sheet name="3 Tabelas Simples Nacional 2018" sheetId="4" state="hidden" r:id="rId5"/>
    <sheet name="4 Tabelas Pro-Labore" sheetId="6" state="hidden" r:id="rId6"/>
    <sheet name="5 CPP Simples Nacional 2017" sheetId="7" state="hidden" r:id="rId7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H12" i="5"/>
  <c r="B8" i="9"/>
  <c r="C16" i="9" s="1"/>
  <c r="D16" i="9"/>
  <c r="D15" i="9" l="1"/>
  <c r="C15" i="9"/>
  <c r="D13" i="9"/>
  <c r="D14" i="9"/>
  <c r="C14" i="9"/>
  <c r="D12" i="9"/>
  <c r="C13" i="9"/>
  <c r="C12" i="9"/>
  <c r="D11" i="9" l="1"/>
  <c r="C11" i="9"/>
  <c r="G12" i="5"/>
  <c r="F12" i="5"/>
  <c r="E12" i="5"/>
  <c r="D12" i="5"/>
  <c r="C12" i="5"/>
  <c r="B12" i="5"/>
  <c r="B6" i="5"/>
  <c r="D13" i="5" l="1"/>
  <c r="D8" i="5" s="1"/>
  <c r="G7" i="1" s="1"/>
  <c r="H32" i="5"/>
  <c r="H33" i="5"/>
  <c r="G33" i="5" s="1"/>
  <c r="I33" i="5" s="1"/>
  <c r="D42" i="5"/>
  <c r="K12" i="1" s="1"/>
  <c r="H13" i="5"/>
  <c r="I13" i="5"/>
  <c r="H34" i="5"/>
  <c r="G34" i="5" s="1"/>
  <c r="I34" i="5" s="1"/>
  <c r="H35" i="5"/>
  <c r="G35" i="5" s="1"/>
  <c r="I35" i="5" s="1"/>
  <c r="H36" i="5"/>
  <c r="G36" i="5" s="1"/>
  <c r="I36" i="5" s="1"/>
  <c r="H37" i="5"/>
  <c r="G37" i="5" s="1"/>
  <c r="I37" i="5" s="1"/>
  <c r="H38" i="5"/>
  <c r="G38" i="5" s="1"/>
  <c r="I38" i="5" s="1"/>
  <c r="H39" i="5"/>
  <c r="G39" i="5"/>
  <c r="I39" i="5" s="1"/>
  <c r="H40" i="5"/>
  <c r="G40" i="5" s="1"/>
  <c r="I40" i="5" s="1"/>
  <c r="H41" i="5"/>
  <c r="G41" i="5"/>
  <c r="I41" i="5" s="1"/>
  <c r="F13" i="5"/>
  <c r="F8" i="5" s="1"/>
  <c r="I7" i="1" s="1"/>
  <c r="G13" i="5"/>
  <c r="G8" i="5" s="1"/>
  <c r="J7" i="1" s="1"/>
  <c r="B13" i="5"/>
  <c r="B8" i="5" s="1"/>
  <c r="C13" i="5"/>
  <c r="E13" i="5"/>
  <c r="E8" i="5" s="1"/>
  <c r="H7" i="1" s="1"/>
  <c r="Q12" i="1"/>
  <c r="I29" i="1"/>
  <c r="Q13" i="1" s="1"/>
  <c r="S24" i="1"/>
  <c r="S6" i="1"/>
  <c r="S7" i="1"/>
  <c r="F42" i="5"/>
  <c r="H42" i="5" l="1"/>
  <c r="E31" i="1" s="1"/>
  <c r="H11" i="1"/>
  <c r="G11" i="1"/>
  <c r="K11" i="1"/>
  <c r="J27" i="1" s="1"/>
  <c r="R11" i="1" s="1"/>
  <c r="F27" i="1"/>
  <c r="N11" i="1" s="1"/>
  <c r="J11" i="1"/>
  <c r="I11" i="1"/>
  <c r="B11" i="5"/>
  <c r="G32" i="5"/>
  <c r="G42" i="5" s="1"/>
  <c r="I32" i="1" s="1"/>
  <c r="Q16" i="1" s="1"/>
  <c r="F31" i="1"/>
  <c r="C8" i="5"/>
  <c r="F7" i="1" s="1"/>
  <c r="F11" i="1"/>
  <c r="E7" i="1"/>
  <c r="E11" i="1"/>
  <c r="E12" i="1" s="1"/>
  <c r="E20" i="1" s="1"/>
  <c r="F32" i="1" l="1"/>
  <c r="G32" i="1" s="1"/>
  <c r="O16" i="1" s="1"/>
  <c r="E27" i="1"/>
  <c r="J28" i="1"/>
  <c r="R12" i="1" s="1"/>
  <c r="M12" i="1"/>
  <c r="M64" i="1"/>
  <c r="R21" i="1"/>
  <c r="R23" i="1" s="1"/>
  <c r="E26" i="1"/>
  <c r="J29" i="1"/>
  <c r="R13" i="1" s="1"/>
  <c r="I32" i="5"/>
  <c r="I42" i="5" s="1"/>
  <c r="E32" i="1"/>
  <c r="M16" i="1" s="1"/>
  <c r="J31" i="1"/>
  <c r="R15" i="1" s="1"/>
  <c r="N15" i="1"/>
  <c r="I31" i="1"/>
  <c r="Q15" i="1" s="1"/>
  <c r="M15" i="1"/>
  <c r="B7" i="5"/>
  <c r="E6" i="1" s="1"/>
  <c r="F12" i="1"/>
  <c r="J30" i="1" s="1"/>
  <c r="R14" i="1" s="1"/>
  <c r="R30" i="1"/>
  <c r="R31" i="1" s="1"/>
  <c r="R27" i="1"/>
  <c r="E10" i="1"/>
  <c r="G27" i="1" s="1"/>
  <c r="K32" i="1" l="1"/>
  <c r="S16" i="1" s="1"/>
  <c r="J32" i="1"/>
  <c r="R16" i="1" s="1"/>
  <c r="N16" i="1"/>
  <c r="F26" i="1"/>
  <c r="G26" i="1" s="1"/>
  <c r="N64" i="1"/>
  <c r="R22" i="1"/>
  <c r="R24" i="1"/>
  <c r="J25" i="1" s="1"/>
  <c r="K25" i="1" s="1"/>
  <c r="S9" i="1" s="1"/>
  <c r="J26" i="1"/>
  <c r="O21" i="1"/>
  <c r="O78" i="1"/>
  <c r="O35" i="1"/>
  <c r="S55" i="1"/>
  <c r="M28" i="1"/>
  <c r="M66" i="1"/>
  <c r="M38" i="1"/>
  <c r="M37" i="1"/>
  <c r="S53" i="1"/>
  <c r="O81" i="1"/>
  <c r="O82" i="1"/>
  <c r="O58" i="1"/>
  <c r="O40" i="1"/>
  <c r="O25" i="1"/>
  <c r="M27" i="1"/>
  <c r="O83" i="1"/>
  <c r="O33" i="1"/>
  <c r="S54" i="1"/>
  <c r="F29" i="1"/>
  <c r="O23" i="1"/>
  <c r="G29" i="1"/>
  <c r="O31" i="1"/>
  <c r="M48" i="1"/>
  <c r="E28" i="1"/>
  <c r="M76" i="1"/>
  <c r="E29" i="1"/>
  <c r="O68" i="1"/>
  <c r="O24" i="1"/>
  <c r="S52" i="1"/>
  <c r="O34" i="1"/>
  <c r="O32" i="1"/>
  <c r="O80" i="1"/>
  <c r="E30" i="1"/>
  <c r="S57" i="1"/>
  <c r="O22" i="1"/>
  <c r="O36" i="1"/>
  <c r="O79" i="1"/>
  <c r="S56" i="1"/>
  <c r="M85" i="1"/>
  <c r="K6" i="1"/>
  <c r="O30" i="1"/>
  <c r="S50" i="1"/>
  <c r="R50" i="1" s="1"/>
  <c r="O26" i="1"/>
  <c r="M84" i="1"/>
  <c r="R28" i="1"/>
  <c r="R29" i="1"/>
  <c r="K27" i="1"/>
  <c r="K29" i="1"/>
  <c r="G33" i="1"/>
  <c r="K28" i="1"/>
  <c r="S12" i="1" s="1"/>
  <c r="J22" i="1"/>
  <c r="J23" i="1"/>
  <c r="R7" i="1" s="1"/>
  <c r="K33" i="1"/>
  <c r="G31" i="1"/>
  <c r="K30" i="1"/>
  <c r="N68" i="1" l="1"/>
  <c r="N58" i="1"/>
  <c r="F15" i="9" s="1"/>
  <c r="E15" i="9"/>
  <c r="P70" i="1"/>
  <c r="E16" i="9"/>
  <c r="N40" i="1"/>
  <c r="F13" i="9" s="1"/>
  <c r="E13" i="9"/>
  <c r="N30" i="1"/>
  <c r="F12" i="9" s="1"/>
  <c r="E12" i="9"/>
  <c r="S13" i="1"/>
  <c r="O13" i="1"/>
  <c r="N21" i="1"/>
  <c r="N26" i="1" s="1"/>
  <c r="E11" i="9"/>
  <c r="N69" i="1"/>
  <c r="R9" i="1"/>
  <c r="M59" i="1"/>
  <c r="M69" i="1"/>
  <c r="M75" i="1"/>
  <c r="P74" i="1"/>
  <c r="P69" i="1"/>
  <c r="P71" i="1"/>
  <c r="P45" i="1"/>
  <c r="R10" i="1"/>
  <c r="K26" i="1"/>
  <c r="S10" i="1" s="1"/>
  <c r="P72" i="1"/>
  <c r="R53" i="1"/>
  <c r="N53" i="1" s="1"/>
  <c r="N41" i="1"/>
  <c r="P41" i="1"/>
  <c r="R54" i="1"/>
  <c r="N54" i="1" s="1"/>
  <c r="R55" i="1"/>
  <c r="N55" i="1" s="1"/>
  <c r="K31" i="1"/>
  <c r="S15" i="1" s="1"/>
  <c r="O15" i="1"/>
  <c r="P78" i="1"/>
  <c r="P68" i="1"/>
  <c r="P61" i="1"/>
  <c r="R52" i="1"/>
  <c r="N52" i="1" s="1"/>
  <c r="N59" i="1"/>
  <c r="R57" i="1"/>
  <c r="N50" i="1" s="1"/>
  <c r="O50" i="1" s="1"/>
  <c r="E14" i="9" s="1"/>
  <c r="P59" i="1"/>
  <c r="P46" i="1"/>
  <c r="P62" i="1"/>
  <c r="R56" i="1"/>
  <c r="N56" i="1" s="1"/>
  <c r="P42" i="1"/>
  <c r="P44" i="1"/>
  <c r="M47" i="1"/>
  <c r="N78" i="1"/>
  <c r="P63" i="1"/>
  <c r="M65" i="1"/>
  <c r="P60" i="1"/>
  <c r="P43" i="1"/>
  <c r="M41" i="1"/>
  <c r="P73" i="1"/>
  <c r="R6" i="1"/>
  <c r="O11" i="1"/>
  <c r="S11" i="1"/>
  <c r="S14" i="1"/>
  <c r="J24" i="1"/>
  <c r="J34" i="1" s="1"/>
  <c r="N36" i="1" l="1"/>
  <c r="F16" i="9"/>
  <c r="N23" i="1"/>
  <c r="N24" i="1"/>
  <c r="F14" i="9"/>
  <c r="N80" i="1"/>
  <c r="N35" i="1"/>
  <c r="N10" i="1" s="1"/>
  <c r="O10" i="1" s="1"/>
  <c r="N31" i="1"/>
  <c r="N33" i="1"/>
  <c r="N32" i="1"/>
  <c r="N34" i="1"/>
  <c r="N22" i="1"/>
  <c r="N25" i="1"/>
  <c r="F11" i="9"/>
  <c r="O55" i="1"/>
  <c r="O56" i="1"/>
  <c r="O52" i="1"/>
  <c r="N83" i="1"/>
  <c r="N81" i="1"/>
  <c r="N82" i="1"/>
  <c r="O53" i="1"/>
  <c r="O54" i="1"/>
  <c r="N79" i="1"/>
  <c r="K24" i="1"/>
  <c r="R8" i="1"/>
  <c r="R17" i="1" s="1"/>
  <c r="S8" i="1" l="1"/>
  <c r="S17" i="1" s="1"/>
  <c r="K34" i="1"/>
  <c r="G30" i="1" l="1"/>
  <c r="F30" i="1"/>
  <c r="O28" i="1"/>
  <c r="N28" i="1" s="1"/>
  <c r="O38" i="1"/>
  <c r="N38" i="1" s="1"/>
  <c r="O85" i="1"/>
  <c r="N85" i="1" s="1"/>
  <c r="N14" i="1" l="1"/>
  <c r="O14" i="1" s="1"/>
  <c r="F22" i="1"/>
  <c r="F34" i="1" s="1"/>
  <c r="H36" i="1" l="1"/>
  <c r="I36" i="1"/>
  <c r="G22" i="1"/>
  <c r="G34" i="1" s="1"/>
  <c r="O76" i="1" l="1"/>
  <c r="N76" i="1" s="1"/>
  <c r="O42" i="1"/>
  <c r="N42" i="1" s="1"/>
  <c r="O63" i="1"/>
  <c r="N63" i="1" s="1"/>
  <c r="O43" i="1"/>
  <c r="N43" i="1" s="1"/>
  <c r="O44" i="1"/>
  <c r="N44" i="1" s="1"/>
  <c r="O72" i="1"/>
  <c r="N72" i="1" s="1"/>
  <c r="O73" i="1"/>
  <c r="N73" i="1" s="1"/>
  <c r="O61" i="1"/>
  <c r="N61" i="1" s="1"/>
  <c r="O46" i="1"/>
  <c r="N46" i="1" s="1"/>
  <c r="O62" i="1"/>
  <c r="N62" i="1" s="1"/>
  <c r="N8" i="1" l="1"/>
  <c r="O8" i="1" s="1"/>
  <c r="O60" i="1"/>
  <c r="N60" i="1" s="1"/>
  <c r="O74" i="1"/>
  <c r="N74" i="1" s="1"/>
  <c r="N12" i="1" s="1"/>
  <c r="O12" i="1" s="1"/>
  <c r="O70" i="1"/>
  <c r="N70" i="1" s="1"/>
  <c r="O71" i="1"/>
  <c r="N71" i="1" s="1"/>
  <c r="N7" i="1" s="1"/>
  <c r="O7" i="1" s="1"/>
  <c r="O45" i="1"/>
  <c r="N45" i="1" s="1"/>
  <c r="N9" i="1" s="1"/>
  <c r="O9" i="1" s="1"/>
  <c r="O48" i="1"/>
  <c r="N48" i="1" s="1"/>
  <c r="O66" i="1"/>
  <c r="N66" i="1" s="1"/>
  <c r="N13" i="1" l="1"/>
  <c r="N6" i="1"/>
  <c r="O6" i="1" s="1"/>
  <c r="O17" i="1" s="1"/>
  <c r="N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Castro</author>
  </authors>
  <commentList>
    <comment ref="I11" authorId="0" shapeId="0" xr:uid="{00000000-0006-0000-0300-000001000000}">
      <text>
        <r>
          <rPr>
            <b/>
            <sz val="9"/>
            <color indexed="81"/>
            <rFont val="Segoe UI"/>
            <charset val="1"/>
          </rPr>
          <t>Alvaro Castro:</t>
        </r>
        <r>
          <rPr>
            <sz val="9"/>
            <color indexed="81"/>
            <rFont val="Segoe UI"/>
            <charset val="1"/>
          </rPr>
          <t xml:space="preserve">
Informar a CPP ref. ao simples nacional conforme extrato do simples nacional, ou conforme relatórios de INSS patronal da Folha do Lucro Presumido.
Para referencias ver a Tabela da Aba 5 CPP Simples Nacional 2017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Alvaro Castro</author>
    <author>Alvaro Castro Jr.</author>
  </authors>
  <commentList>
    <comment ref="A15" authorId="0" shapeId="0" xr:uid="{00000000-0006-0000-0400-000001000000}">
      <text>
        <r>
          <rPr>
            <b/>
            <sz val="9"/>
            <color indexed="81"/>
            <rFont val="Segoe UI"/>
            <charset val="1"/>
          </rPr>
          <t>Alvaro Castro:</t>
        </r>
        <r>
          <rPr>
            <sz val="9"/>
            <color indexed="81"/>
            <rFont val="Segoe UI"/>
            <charset val="1"/>
          </rPr>
          <t xml:space="preserve">
Inserir o Mark-up médio dos produtos para que a tabela calcule a Margem a servir de base para o ICMS/IPI</t>
        </r>
      </text>
    </comment>
    <comment ref="H15" authorId="1" shapeId="0" xr:uid="{00000000-0006-0000-0400-000002000000}">
      <text>
        <r>
          <rPr>
            <b/>
            <sz val="10"/>
            <color indexed="81"/>
            <rFont val="Calibri"/>
            <family val="2"/>
          </rPr>
          <t>Alvaro Castro Jr.:</t>
        </r>
        <r>
          <rPr>
            <sz val="10"/>
            <color indexed="81"/>
            <rFont val="Calibri"/>
            <family val="2"/>
          </rPr>
          <t xml:space="preserve">
Para empresas do Anexo IV informar qual será a modalidade do CPP:
Receita Total - Considerar INSS Patronal para toda a empresa
Proporcional - Considerar INSS Patronal proporcional à receita desse anexo
So Outros Anexos - Considerar CPP pago só nos outros anexos</t>
        </r>
      </text>
    </comment>
    <comment ref="J15" authorId="1" shapeId="0" xr:uid="{00000000-0006-0000-0400-000003000000}">
      <text>
        <r>
          <rPr>
            <b/>
            <sz val="10"/>
            <color indexed="81"/>
            <rFont val="Calibri"/>
            <family val="2"/>
          </rPr>
          <t>Alvaro Castro Jr.:</t>
        </r>
        <r>
          <rPr>
            <sz val="10"/>
            <color indexed="81"/>
            <rFont val="Calibri"/>
            <family val="2"/>
          </rPr>
          <t xml:space="preserve">
Caso a atividade esteja sujeita a INSS s/Receita Bruta, informar a aliquota aqui, do contrário, deixar zerado
</t>
        </r>
      </text>
    </comment>
    <comment ref="H16" authorId="1" shapeId="0" xr:uid="{00000000-0006-0000-0400-000004000000}">
      <text>
        <r>
          <rPr>
            <b/>
            <sz val="10"/>
            <color indexed="81"/>
            <rFont val="Calibri"/>
            <family val="2"/>
          </rPr>
          <t>Alvaro Castro Jr.:</t>
        </r>
        <r>
          <rPr>
            <sz val="10"/>
            <color indexed="81"/>
            <rFont val="Calibri"/>
            <family val="2"/>
          </rPr>
          <t xml:space="preserve">
Caso seja restaurante com uso da alíquota fixa de ICMS sobre a receita, preencher a alíquota neste campo, senão deixar zerado</t>
        </r>
      </text>
    </comment>
    <comment ref="J16" authorId="1" shapeId="0" xr:uid="{00000000-0006-0000-0400-000005000000}">
      <text>
        <r>
          <rPr>
            <b/>
            <sz val="10"/>
            <color indexed="81"/>
            <rFont val="Calibri"/>
            <family val="2"/>
          </rPr>
          <t>Alvaro Castro Jr.:</t>
        </r>
        <r>
          <rPr>
            <sz val="10"/>
            <color indexed="81"/>
            <rFont val="Calibri"/>
            <family val="2"/>
          </rPr>
          <t xml:space="preserve">
Empresas optantes pelo regime Uniprofissional informar o número de sócios para calculo do ISS fixo.
Os valores da tabela podem ser alterados na aba "Tabelas Simples Nacional 2018"
A empresa sendo normal basta deixar zerado
</t>
        </r>
      </text>
    </comment>
    <comment ref="A17" authorId="0" shapeId="0" xr:uid="{00000000-0006-0000-0400-000006000000}">
      <text>
        <r>
          <rPr>
            <b/>
            <sz val="9"/>
            <color indexed="81"/>
            <rFont val="Segoe UI"/>
            <charset val="1"/>
          </rPr>
          <t>Alvaro Castro:</t>
        </r>
        <r>
          <rPr>
            <sz val="9"/>
            <color indexed="81"/>
            <rFont val="Segoe UI"/>
            <charset val="1"/>
          </rPr>
          <t xml:space="preserve">
Selecionar se deseja aplicar o IR/CSLL Hospitalar 8% de Lucro Presumido para os serviços médicos (Anexo fator r)
</t>
        </r>
      </text>
    </comment>
    <comment ref="F17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Alvaro Castro
Informar neste campo se os impostos retidos sobre o Pro-Labore devem ser considerados como um custo da empresa ou não</t>
        </r>
      </text>
    </comment>
    <comment ref="O28" authorId="1" shapeId="0" xr:uid="{00000000-0006-0000-0400-000008000000}">
      <text>
        <r>
          <rPr>
            <b/>
            <sz val="10"/>
            <color indexed="81"/>
            <rFont val="Calibri"/>
            <family val="2"/>
          </rPr>
          <t>Alvaro Castro Jr.:</t>
        </r>
        <r>
          <rPr>
            <sz val="10"/>
            <color indexed="81"/>
            <rFont val="Calibri"/>
            <family val="2"/>
          </rPr>
          <t xml:space="preserve">
Quando o ICMS for calculado à parte, a alíquota deste campo será considerada a porcentagem do faturamento, no lugar da repartição do DAS</t>
        </r>
      </text>
    </comment>
    <comment ref="O38" authorId="1" shapeId="0" xr:uid="{00000000-0006-0000-0400-000009000000}">
      <text>
        <r>
          <rPr>
            <b/>
            <sz val="10"/>
            <color indexed="81"/>
            <rFont val="Calibri"/>
            <family val="2"/>
          </rPr>
          <t>Alvaro Castro Jr.:</t>
        </r>
        <r>
          <rPr>
            <sz val="10"/>
            <color indexed="81"/>
            <rFont val="Calibri"/>
            <family val="2"/>
          </rPr>
          <t xml:space="preserve">
Quando o ICMS for calculado à parte, a alíquota deste campo será considerada a porcentagem do faturamento, no lugar da repartição do DAS</t>
        </r>
      </text>
    </comment>
  </commentList>
</comments>
</file>

<file path=xl/sharedStrings.xml><?xml version="1.0" encoding="utf-8"?>
<sst xmlns="http://schemas.openxmlformats.org/spreadsheetml/2006/main" count="391" uniqueCount="225">
  <si>
    <t>Faturamento ultimos 12 meses</t>
  </si>
  <si>
    <t>IRPJ</t>
  </si>
  <si>
    <t>ISS</t>
  </si>
  <si>
    <t>CSLL Serviços</t>
  </si>
  <si>
    <t>IRPJ Adicional</t>
  </si>
  <si>
    <t>Não há retenção de impostos</t>
  </si>
  <si>
    <t>Faturamento ultimos 12 meses Total</t>
  </si>
  <si>
    <t>ANEXO III</t>
  </si>
  <si>
    <t>SERVIÇOS DE ARQUITETURA</t>
  </si>
  <si>
    <t>CNAE</t>
  </si>
  <si>
    <t>Enquadramento</t>
  </si>
  <si>
    <t>fator r</t>
  </si>
  <si>
    <t>CENÁRIO DE BASE - PREMISSAS</t>
  </si>
  <si>
    <t>Anexo I</t>
  </si>
  <si>
    <t>ANEXO I</t>
  </si>
  <si>
    <t>ANEXO II</t>
  </si>
  <si>
    <t>ANEXO IV</t>
  </si>
  <si>
    <t>Receita Bruta em 12 Meses</t>
  </si>
  <si>
    <t>Anexo I Deduzir</t>
  </si>
  <si>
    <t>Anexo I IRPJ</t>
  </si>
  <si>
    <t>Anexo I CSLL</t>
  </si>
  <si>
    <t>Anexo I Cofins</t>
  </si>
  <si>
    <t>Anexo I PIS/Pasep</t>
  </si>
  <si>
    <t>Anexo I CPP</t>
  </si>
  <si>
    <t>Anexo I ICMS</t>
  </si>
  <si>
    <t>Anexo II</t>
  </si>
  <si>
    <t>Anexo II Deduzir</t>
  </si>
  <si>
    <t>Anexo II IRPJ</t>
  </si>
  <si>
    <t>Anexo II CSLL</t>
  </si>
  <si>
    <t>Anexo II Cofins</t>
  </si>
  <si>
    <t>Anexo II PIS/Pasep</t>
  </si>
  <si>
    <t>Anexo II CPP</t>
  </si>
  <si>
    <t>Anexo II IPI</t>
  </si>
  <si>
    <t>Anexo II ICMS</t>
  </si>
  <si>
    <t>Anexo III</t>
  </si>
  <si>
    <t>Anexo III Deduzir</t>
  </si>
  <si>
    <t>Anexo III IRPJ</t>
  </si>
  <si>
    <t>Anexo III CSLL</t>
  </si>
  <si>
    <t>Anexo III Cofins</t>
  </si>
  <si>
    <t>Anexo III PIS/Pasep</t>
  </si>
  <si>
    <t>Anexo III CPP</t>
  </si>
  <si>
    <t>Anexo III ISS (*)</t>
  </si>
  <si>
    <t>Anexo IV</t>
  </si>
  <si>
    <t>Anexo IV Deduzir</t>
  </si>
  <si>
    <t>Anexo IV IRPJ</t>
  </si>
  <si>
    <t>Anexo IV CSLL</t>
  </si>
  <si>
    <t>Anexo IV Cofins</t>
  </si>
  <si>
    <t>Anexo IV PIS/Pasep</t>
  </si>
  <si>
    <t>Anexo IV ISS (*)</t>
  </si>
  <si>
    <t>Anexo V</t>
  </si>
  <si>
    <t>Anexo V Deduzir</t>
  </si>
  <si>
    <t>Anexo V IRPJ</t>
  </si>
  <si>
    <t>Anexo V CSLL</t>
  </si>
  <si>
    <t>Anexo V Cofins</t>
  </si>
  <si>
    <t>Anexo V PIS/Pasep</t>
  </si>
  <si>
    <t>Anexo V ISS (*)</t>
  </si>
  <si>
    <t xml:space="preserve"> -  </t>
  </si>
  <si>
    <t>-</t>
  </si>
  <si>
    <t>(*) O percentual efetivo máximo devido ao ISS será de 5%, transferindo-se a diferença, de forma proporcional, aos tributos federais da mesma faixa de receita bruta anual. Sendo assim, na 5ª faixa, quando a alíquota efetiva for superior a 12,5%, a repartição será:</t>
  </si>
  <si>
    <t>(Alíquota efetiva – 5%) x 5,26%</t>
  </si>
  <si>
    <t>(Alíquota efetiva – 5%) x 19,28%</t>
  </si>
  <si>
    <t>(Alíquota efetiva – 5%) x 4,18%</t>
  </si>
  <si>
    <t>(Alíquota efetiva – 5%) x 65,26%</t>
  </si>
  <si>
    <t>Percentual de ISS fixo em 5%</t>
  </si>
  <si>
    <t>(Alíquota efetiva – 5%) x 31,33%</t>
  </si>
  <si>
    <t>(Alíquota efetiva – 5%) x 32,00%</t>
  </si>
  <si>
    <t>(Alíquota efetiva – 5%) x 30,13%</t>
  </si>
  <si>
    <t>(Alíquota efetiva – 5%) x 6,54%</t>
  </si>
  <si>
    <t>arquitetura e urbanismo</t>
  </si>
  <si>
    <t>fisioterapia</t>
  </si>
  <si>
    <t>enfermagem e medicina, inclusive laboratorial</t>
  </si>
  <si>
    <t>odontologia e prótese dentária</t>
  </si>
  <si>
    <t>psicologia, psicanálise, terapia ocupacional</t>
  </si>
  <si>
    <t>acupuntura, podologia, fonoaudiologia, clínicas de nutrição e de vacinação e bancos de leite</t>
  </si>
  <si>
    <t>administração e locação de imóveis de terceiros</t>
  </si>
  <si>
    <t>academias de dança, de capoeira, de ioga e de artes marciais</t>
  </si>
  <si>
    <t>academias de atividades físicas, desportivas, de natação e escolas de esportes</t>
  </si>
  <si>
    <t>elaboração de programas de computadores, inclusive jogos eletrônicos</t>
  </si>
  <si>
    <t>licenciamento ou cessão de direito de uso de programas de computação</t>
  </si>
  <si>
    <t>planejamento, confecção, manutenção e atualização de páginas eletrônicas</t>
  </si>
  <si>
    <t>empresas montadoras de estandes para feiras</t>
  </si>
  <si>
    <t>laboratórios de análises clínicas ou de patologia clínica</t>
  </si>
  <si>
    <t>serviços de tomografia, diagnósticos médicos por imagem, registros gráficos e métodos óticos, bem como ressonância magnética</t>
  </si>
  <si>
    <t>serviços de prótese em geral</t>
  </si>
  <si>
    <t>(*) O percentual efetivo máximo devido ao ISS será de 5%, transferindo-se a diferença, de forma proporcional, aos tributos federais  da mesma faixa de receita bruta anual. Sendo assim, na 5ª faixa, quando a alíquota efetiva for superior a 14,92537%, a repartição será:</t>
  </si>
  <si>
    <t>Anexo V - Fator r</t>
  </si>
  <si>
    <t>Anexo III - Fator r</t>
  </si>
  <si>
    <t>ANEXO Fator r</t>
  </si>
  <si>
    <t>fator R</t>
  </si>
  <si>
    <t>Faturamento Médio Mensal</t>
  </si>
  <si>
    <t>Média mensal por Anexo</t>
  </si>
  <si>
    <t>Memória de Cálculo do IRPJ e CSLL Trimestral</t>
  </si>
  <si>
    <t>CSLL</t>
  </si>
  <si>
    <t>PIS</t>
  </si>
  <si>
    <t>COFINS</t>
  </si>
  <si>
    <t>ICMS</t>
  </si>
  <si>
    <t>CPP</t>
  </si>
  <si>
    <t>DAS a pagar</t>
  </si>
  <si>
    <t>Menor fiscalização e obrigações fiscais</t>
  </si>
  <si>
    <t>Maior fiscalização e obrigações fiscais</t>
  </si>
  <si>
    <t>Resultado:</t>
  </si>
  <si>
    <t>Obrigatória a retenção de impostos e 5 guias para pagar</t>
  </si>
  <si>
    <t>Vantagens do Simples:</t>
  </si>
  <si>
    <t>Desvantagens do Lucro Presumido:</t>
  </si>
  <si>
    <t>Mark-up dos produtos</t>
  </si>
  <si>
    <t>Alíquota do ISS</t>
  </si>
  <si>
    <t>(Alíquota efetiva – 5%) x 6,02%</t>
  </si>
  <si>
    <t>Aliq.Média ICMS</t>
  </si>
  <si>
    <t>Base de calculo do ICMS</t>
  </si>
  <si>
    <t>Total de Impostos a pagar</t>
  </si>
  <si>
    <t>SIMPLES NACIONAL 2018 - CUSTO MENSAL</t>
  </si>
  <si>
    <t>LUCRO PRESUMIDO - CUSTO MENSAL</t>
  </si>
  <si>
    <t>PIS a pagar</t>
  </si>
  <si>
    <t>COFINS a pagar</t>
  </si>
  <si>
    <t>IRPJ a pagar</t>
  </si>
  <si>
    <t>CSLL a pagar</t>
  </si>
  <si>
    <t>CPP a pagar</t>
  </si>
  <si>
    <t>PARAMETROS E PARTICULARIDADES - Aqui vão os detalhes da sua empresa que impactam os nosso cálculos:</t>
  </si>
  <si>
    <t>ATIVIDADES DA EMPESA - Somente para facilitar a visualização e preenchimento - não influencia nos cálculos:</t>
  </si>
  <si>
    <t>FATURAMENTOS DE BASE</t>
  </si>
  <si>
    <t>Observação: Para fins de simplificação serão consideradas as atividades Anexo V ou Anexo III Fator r na mesma coluna Anexo Fator r</t>
  </si>
  <si>
    <t>ANEXO III Locação</t>
  </si>
  <si>
    <t>comércio</t>
  </si>
  <si>
    <t>indústria</t>
  </si>
  <si>
    <t>locação de bens móveis e de prestação de serviços não relacionados no § 5o-C do art. 18 LC123</t>
  </si>
  <si>
    <t>prestação de serviços relacionados no § 5o-C do art. 18 LC123</t>
  </si>
  <si>
    <t>prestação de serviços relacionados no § 5o-I do art. 18 LC123</t>
  </si>
  <si>
    <t>Média mensal por Anexo Calculada</t>
  </si>
  <si>
    <t>Observação: Caso a linha "Média mensal por Anexo Informada" seja preenchida, a planilha vai desconsiderar os dados das colunas mensais!</t>
  </si>
  <si>
    <t>Para começarmos precisamos das suas informações de faturamentos, você pode optar por preencher mês a mês ou preencher a coluna de média mensal, sendo que a coluna de média mensal será considerada preferencialmente sobre a de mês a mês, que pode ser usada para testar cenários:</t>
  </si>
  <si>
    <t>Média mensal manual para simulação</t>
  </si>
  <si>
    <t>Folha sem Encargos</t>
  </si>
  <si>
    <t>COMPARATIVO BASEADO NAS PREMISSAS ASSUMIDAS</t>
  </si>
  <si>
    <t>A partir das premissas teremos as informações necessárias para fazer o nosso comparativo, tudo que você precisa é preencher os campos em amarelo abaixo e na aba "1 Faturamentos", e tudo mais será calculado automaticamente!</t>
  </si>
  <si>
    <t>Anexo III Locação</t>
  </si>
  <si>
    <t>Contabilidade</t>
  </si>
  <si>
    <t xml:space="preserve">O Simples Nacional no regime de 2018 é </t>
  </si>
  <si>
    <t>Total a pagar</t>
  </si>
  <si>
    <t>Total a Pagar</t>
  </si>
  <si>
    <t>ICMS a pagar</t>
  </si>
  <si>
    <t>Memória de Calculo - Separação por Anexo e Repartição</t>
  </si>
  <si>
    <t>FGTS a pagar</t>
  </si>
  <si>
    <t>Pro-Labores</t>
  </si>
  <si>
    <t>Inserir a Folha considerando Férias + 13o Salário. Caso só tenha o salário base, multiplicar por 1,195 para encontrar o valor.</t>
  </si>
  <si>
    <t>FGTS</t>
  </si>
  <si>
    <t>COMPARATIVO LADO A LADO - IMPOSTO A IMPOSTO</t>
  </si>
  <si>
    <t>IPI a pagar</t>
  </si>
  <si>
    <t>Alíq.Média IPI</t>
  </si>
  <si>
    <t>IPI</t>
  </si>
  <si>
    <t>SIMPLES NACIONAL 2018 - RATEIO POR IMPOSTO</t>
  </si>
  <si>
    <t>LUCRO PRESUMIDO - POR IMPOSTO</t>
  </si>
  <si>
    <t>Planilha desenvolvida por Alvaro Castro Jr. | Contato: 21 99370-9655</t>
  </si>
  <si>
    <t>Senha de desbloqueio da planilha: acj</t>
  </si>
  <si>
    <t>Como no Simples Nacional se pagam diversos impostos da mesma guia DAS, a comparação entre os regimes fica difícil de visualizar. Por este motivo, separamos os impostos do Simples para que a comparação fique mais fácil:</t>
  </si>
  <si>
    <t>Folha de Pagamento</t>
  </si>
  <si>
    <t>Aqui ao lado voce poderá conferir se é vantajoso aderir ao Simples Nacional em 2018. Os cálculos de ICMS e ISS fora do DAS nessa planilha são mera aproximação e para um estudo sério é necessário avaliar os detalhes completos de sua empresa. Também não estão considerados benefícios fiscais, como serviços prestados ao exterior, e trabalhistas, que são iguais dos dois lados e variam muito. Somente seu contador pode lhe dar uma consultoria segura!</t>
  </si>
  <si>
    <t>Faturamento</t>
  </si>
  <si>
    <t>INSS Receita Bruta</t>
  </si>
  <si>
    <t>Aliq. Restaurante</t>
  </si>
  <si>
    <t>Anexo III Locação Base de Dados</t>
  </si>
  <si>
    <t>Fat. 12 meses manual para simulação</t>
  </si>
  <si>
    <t>Fat. ultimos 12 meses</t>
  </si>
  <si>
    <t>Fat. ultimos 12 meses calculado</t>
  </si>
  <si>
    <t>Anexo I Comércio</t>
  </si>
  <si>
    <t>Anexo II Industria</t>
  </si>
  <si>
    <t>Anexo III Serviços</t>
  </si>
  <si>
    <t>CPP Anexo IV</t>
  </si>
  <si>
    <t>Anexo IV Construção</t>
  </si>
  <si>
    <t>Anexo "fator r" &lt; 28</t>
  </si>
  <si>
    <t>Anexo "fator r" &gt; 28</t>
  </si>
  <si>
    <t>Anexo V CPP</t>
  </si>
  <si>
    <t>Receita Total</t>
  </si>
  <si>
    <t>Uniprofissional RJ</t>
  </si>
  <si>
    <t>Tabela Uniprofissional Rio de Janeiro 2018</t>
  </si>
  <si>
    <t>Qtd de Prof.</t>
  </si>
  <si>
    <t>Valor</t>
  </si>
  <si>
    <t>SEM TABELA</t>
  </si>
  <si>
    <t>Serviços 32% LP</t>
  </si>
  <si>
    <t>Alíquota IR/CS Normal/Hospitalar</t>
  </si>
  <si>
    <t>Lucro Presumido a 32%</t>
  </si>
  <si>
    <t>Lucro Presumido a 8%</t>
  </si>
  <si>
    <t>Caso a linha Fat. 12 meses manual para simulação seja preenchida, a planilha vai desconsiderar os valores calculados!</t>
  </si>
  <si>
    <t>Nome do Sócio</t>
  </si>
  <si>
    <t>IRRF</t>
  </si>
  <si>
    <t>INSS Retido</t>
  </si>
  <si>
    <t>Qtd Dependentes</t>
  </si>
  <si>
    <t>Fulano da Silva</t>
  </si>
  <si>
    <t>Já recolhe o teto?</t>
  </si>
  <si>
    <t>não</t>
  </si>
  <si>
    <t>Aliquota</t>
  </si>
  <si>
    <t>Parcela a Deduzir</t>
  </si>
  <si>
    <t>De</t>
  </si>
  <si>
    <t>Até</t>
  </si>
  <si>
    <t>TABELA IRRF atualizada até 10/01/2018</t>
  </si>
  <si>
    <t>Valor Líquido</t>
  </si>
  <si>
    <t>Totais</t>
  </si>
  <si>
    <t>sim</t>
  </si>
  <si>
    <t>valor por dependente:</t>
  </si>
  <si>
    <t>INSS sobre Pro Labore</t>
  </si>
  <si>
    <t>Limite</t>
  </si>
  <si>
    <t>Faixa de Faturamento</t>
  </si>
  <si>
    <t>CPP Simples Nacional 2017</t>
  </si>
  <si>
    <t>Anexo VI</t>
  </si>
  <si>
    <t>Consultar Extrato</t>
  </si>
  <si>
    <t>26,8 Sobre Salario</t>
  </si>
  <si>
    <t>CPP Ult.12 meses</t>
  </si>
  <si>
    <t>INFORMAÇÕES SOBRE PRO-LABORES - é importante informar os valores separadamente por cada sócio ter os cálculos corretos</t>
  </si>
  <si>
    <t>Pro-Labore é custo?</t>
  </si>
  <si>
    <t>Fat. Últimos 12 Meses</t>
  </si>
  <si>
    <t>Folha Ultimos 12 Meses</t>
  </si>
  <si>
    <t>Faturamento Anexo I</t>
  </si>
  <si>
    <t>Faturamento Anexo II</t>
  </si>
  <si>
    <t>Faturamento Anexo III</t>
  </si>
  <si>
    <t>Faturamento Anexo IV</t>
  </si>
  <si>
    <t>Faturamento Anexo Locação</t>
  </si>
  <si>
    <t>Faturamento Anexo Fator r</t>
  </si>
  <si>
    <t>Alíquota Efetiva</t>
  </si>
  <si>
    <t>Alíquota Nominal</t>
  </si>
  <si>
    <t>Fator r</t>
  </si>
  <si>
    <t>CALCULADORA DE ALÍQUOTA EFETIVA SIMPLES NACIONAL</t>
  </si>
  <si>
    <t>Valor da NF</t>
  </si>
  <si>
    <t>Impostos à Recolher</t>
  </si>
  <si>
    <t>Essa planilha foi pensada em você, franqueado Energy Brasil.
Através dela você poderá simular quanto pagará de impostos no Simples Nacional de acordo com a sua Receita Bruta Acumulada nos últimos 12 meses.
Lembrando que no Simples Nacional, os impostos são pagos sobre o seu FATURAMENTO e não sobre o LUCRO.
O primeiro ponto a ser observado é se a empresa ja está aberta a mais de 12 meses, se sim deve-se somar os últimos 12 faturamentos para realizar o cálculo, caso a empresa ainda não completou 12 meses de existência, deve ser feita uma média do faturamento. Para facilitar vocês podem solicitar o acumulado, ou o acumulado proporcional (média) para o contador.</t>
  </si>
  <si>
    <t>Tendo essas informações em mãos, vamos ao preenchimento da planilha:
1- Preencha o campo Fat. Últimos 12 Meses com o valor fornecido por seu contador;
2- Caso possua folha de pagamento, preencha o campo Folha Ultimos 12 Meses. (seu contador disponibilizará a você);
3- Preencha de acordo com a sua atividade (enquadramento) o campo Valor da NF (pode ser preenchido com o valor do faturamento total no mês para encontrar o valor total de impostos a ser recolhido referente aquele mês). No caso dos franqueados Energy Brasil, o faturamento se enquadra no Anexo III (destacado em vermelho);
4- No campo Alíquota Efetiva será destacada a alíquota referente aquele mês;
5- No campo Imposto à Recolher, a planilha fará o cálculo do seu faturamento, multiplicado pela alíquota efetiva do mês, e informará o valor total de imposto a ser recolhido.</t>
  </si>
  <si>
    <t>Tendo todas essas informações, clique no botão a seguir para realizar a sua simulação.
Lembrando que em caso de dúvidas, o Escritório do Empreendedor terá o prazer de auxiliar vocês através do telefone: (17) 2786-1737 ou do e-Mail: fiscal@escritoriodoempreendedor.com.br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</si>
</sst>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&quot;ANEXO&quot;\ @"/>
    <numFmt numFmtId="167" formatCode="&quot;&quot;00&quot;.&quot;00\-0\-00"/>
    <numFmt numFmtId="168" formatCode="#,##0.00;0"/>
    <numFmt numFmtId="169" formatCode="_-* #,##0.0000_-;\-* #,##0.0000_-;_-* &quot;-&quot;??_-;_-@_-"/>
    <numFmt numFmtId="170" formatCode="0.0%"/>
    <numFmt numFmtId="171" formatCode="#,##0.00_ ;\-#,##0.00\ "/>
  </numFmts>
  <fonts count="4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0"/>
      <name val="Calibri"/>
      <family val="2"/>
      <scheme val="minor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3"/>
      <name val="Calibri"/>
      <family val="2"/>
    </font>
    <font>
      <sz val="12"/>
      <color rgb="FFFFFF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i/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i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6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18"/>
      <color theme="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B7D75A"/>
        <bgColor indexed="64"/>
      </patternFill>
    </fill>
    <fill>
      <patternFill patternType="solid">
        <fgColor rgb="FFFFDE00"/>
        <bgColor indexed="64"/>
      </patternFill>
    </fill>
    <fill>
      <patternFill patternType="solid">
        <fgColor rgb="FF5B5B5F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6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20" borderId="36" applyNumberFormat="0" applyFont="0" applyAlignment="0" applyProtection="0"/>
  </cellStyleXfs>
  <cellXfs count="351">
    <xf numFmtId="0" fontId="0" fillId="0" borderId="0" xfId="0"/>
    <xf numFmtId="10" fontId="0" fillId="0" borderId="0" xfId="3" applyNumberFormat="1" applyFont="1"/>
    <xf numFmtId="0" fontId="0" fillId="0" borderId="0" xfId="0" applyAlignment="1">
      <alignment horizontal="right"/>
    </xf>
    <xf numFmtId="164" fontId="0" fillId="0" borderId="0" xfId="2" applyFont="1"/>
    <xf numFmtId="0" fontId="7" fillId="0" borderId="0" xfId="0" applyFont="1" applyAlignment="1">
      <alignment horizontal="center"/>
    </xf>
    <xf numFmtId="17" fontId="0" fillId="0" borderId="5" xfId="0" applyNumberFormat="1" applyBorder="1" applyAlignment="1">
      <alignment horizontal="right"/>
    </xf>
    <xf numFmtId="43" fontId="14" fillId="14" borderId="21" xfId="0" applyNumberFormat="1" applyFont="1" applyFill="1" applyBorder="1" applyAlignment="1">
      <alignment horizontal="left"/>
    </xf>
    <xf numFmtId="43" fontId="14" fillId="14" borderId="22" xfId="0" applyNumberFormat="1" applyFont="1" applyFill="1" applyBorder="1" applyAlignment="1">
      <alignment horizontal="left"/>
    </xf>
    <xf numFmtId="10" fontId="13" fillId="0" borderId="22" xfId="0" applyNumberFormat="1" applyFont="1" applyBorder="1" applyAlignment="1">
      <alignment horizontal="center" vertical="center" wrapText="1"/>
    </xf>
    <xf numFmtId="43" fontId="12" fillId="0" borderId="22" xfId="0" applyNumberFormat="1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10" fontId="13" fillId="0" borderId="21" xfId="0" applyNumberFormat="1" applyFont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center" vertical="center" wrapText="1"/>
    </xf>
    <xf numFmtId="10" fontId="12" fillId="0" borderId="21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justify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9" fontId="12" fillId="0" borderId="0" xfId="0" applyNumberFormat="1" applyFont="1" applyAlignment="1">
      <alignment horizontal="justify" vertical="center" wrapText="1"/>
    </xf>
    <xf numFmtId="0" fontId="2" fillId="12" borderId="20" xfId="273" applyBorder="1" applyAlignment="1">
      <alignment horizontal="center" vertical="center" wrapText="1"/>
    </xf>
    <xf numFmtId="0" fontId="2" fillId="10" borderId="20" xfId="271" applyBorder="1" applyAlignment="1">
      <alignment horizontal="center" vertical="center" wrapText="1"/>
    </xf>
    <xf numFmtId="0" fontId="2" fillId="10" borderId="3" xfId="271" applyBorder="1" applyAlignment="1">
      <alignment horizontal="center" vertical="center" wrapText="1"/>
    </xf>
    <xf numFmtId="0" fontId="2" fillId="13" borderId="1" xfId="274" applyBorder="1" applyAlignment="1">
      <alignment horizontal="center" vertical="center" wrapText="1"/>
    </xf>
    <xf numFmtId="0" fontId="2" fillId="13" borderId="20" xfId="274" applyBorder="1" applyAlignment="1">
      <alignment horizontal="center" vertical="center" wrapText="1"/>
    </xf>
    <xf numFmtId="0" fontId="2" fillId="13" borderId="3" xfId="274" applyBorder="1" applyAlignment="1">
      <alignment vertical="center" wrapText="1"/>
    </xf>
    <xf numFmtId="0" fontId="2" fillId="11" borderId="1" xfId="272" applyBorder="1" applyAlignment="1">
      <alignment horizontal="center" vertical="center" wrapText="1"/>
    </xf>
    <xf numFmtId="0" fontId="2" fillId="11" borderId="20" xfId="272" applyBorder="1" applyAlignment="1">
      <alignment horizontal="center" vertical="center" wrapText="1"/>
    </xf>
    <xf numFmtId="0" fontId="2" fillId="11" borderId="3" xfId="272" applyBorder="1" applyAlignment="1">
      <alignment horizontal="center" vertical="center" wrapText="1"/>
    </xf>
    <xf numFmtId="0" fontId="8" fillId="7" borderId="1" xfId="9" applyBorder="1" applyAlignment="1">
      <alignment horizontal="center" vertical="center" wrapText="1"/>
    </xf>
    <xf numFmtId="0" fontId="8" fillId="7" borderId="20" xfId="9" applyBorder="1" applyAlignment="1">
      <alignment horizontal="center" vertical="center" wrapText="1"/>
    </xf>
    <xf numFmtId="0" fontId="12" fillId="0" borderId="4" xfId="0" applyFont="1" applyBorder="1"/>
    <xf numFmtId="0" fontId="13" fillId="0" borderId="4" xfId="0" applyFont="1" applyBorder="1"/>
    <xf numFmtId="0" fontId="12" fillId="0" borderId="26" xfId="0" applyFont="1" applyBorder="1"/>
    <xf numFmtId="0" fontId="12" fillId="0" borderId="25" xfId="0" applyFont="1" applyBorder="1"/>
    <xf numFmtId="0" fontId="0" fillId="0" borderId="0" xfId="0"/>
    <xf numFmtId="0" fontId="12" fillId="0" borderId="0" xfId="0" applyFont="1"/>
    <xf numFmtId="0" fontId="11" fillId="15" borderId="0" xfId="10" applyFont="1" applyFill="1" applyAlignment="1">
      <alignment horizontal="center"/>
    </xf>
    <xf numFmtId="0" fontId="0" fillId="0" borderId="0" xfId="0" applyAlignment="1"/>
    <xf numFmtId="43" fontId="0" fillId="0" borderId="0" xfId="0" applyNumberFormat="1"/>
    <xf numFmtId="0" fontId="17" fillId="0" borderId="0" xfId="0" applyFont="1" applyAlignment="1"/>
    <xf numFmtId="10" fontId="0" fillId="0" borderId="0" xfId="3" applyNumberFormat="1" applyFont="1" applyAlignment="1"/>
    <xf numFmtId="0" fontId="4" fillId="2" borderId="0" xfId="4" applyAlignment="1"/>
    <xf numFmtId="164" fontId="0" fillId="0" borderId="0" xfId="2" applyFont="1" applyAlignment="1"/>
    <xf numFmtId="0" fontId="5" fillId="3" borderId="0" xfId="5" applyAlignment="1"/>
    <xf numFmtId="0" fontId="12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right"/>
    </xf>
    <xf numFmtId="0" fontId="19" fillId="0" borderId="0" xfId="0" applyFont="1"/>
    <xf numFmtId="10" fontId="19" fillId="0" borderId="0" xfId="3" applyNumberFormat="1" applyFont="1"/>
    <xf numFmtId="0" fontId="19" fillId="0" borderId="0" xfId="0" applyFont="1" applyAlignment="1">
      <alignment horizontal="right"/>
    </xf>
    <xf numFmtId="43" fontId="19" fillId="0" borderId="0" xfId="1" applyFont="1"/>
    <xf numFmtId="0" fontId="8" fillId="15" borderId="6" xfId="4" applyFont="1" applyFill="1" applyBorder="1" applyAlignment="1">
      <alignment horizontal="right"/>
    </xf>
    <xf numFmtId="2" fontId="8" fillId="15" borderId="7" xfId="4" applyNumberFormat="1" applyFont="1" applyFill="1" applyBorder="1" applyAlignment="1">
      <alignment horizontal="center" vertical="center"/>
    </xf>
    <xf numFmtId="0" fontId="23" fillId="15" borderId="0" xfId="4" applyFont="1" applyFill="1" applyAlignment="1">
      <alignment horizontal="center"/>
    </xf>
    <xf numFmtId="0" fontId="8" fillId="15" borderId="0" xfId="4" applyFont="1" applyFill="1" applyAlignment="1">
      <alignment horizontal="right"/>
    </xf>
    <xf numFmtId="0" fontId="24" fillId="17" borderId="8" xfId="9" applyFont="1" applyFill="1" applyBorder="1" applyAlignment="1">
      <alignment horizontal="right"/>
    </xf>
    <xf numFmtId="4" fontId="24" fillId="17" borderId="9" xfId="9" applyNumberFormat="1" applyFont="1" applyFill="1" applyBorder="1" applyAlignment="1">
      <alignment horizontal="center" vertical="center"/>
    </xf>
    <xf numFmtId="4" fontId="24" fillId="17" borderId="10" xfId="9" applyNumberFormat="1" applyFont="1" applyFill="1" applyBorder="1" applyAlignment="1">
      <alignment horizontal="center" vertical="center"/>
    </xf>
    <xf numFmtId="0" fontId="25" fillId="17" borderId="0" xfId="9" applyFont="1" applyFill="1" applyAlignment="1">
      <alignment horizontal="right"/>
    </xf>
    <xf numFmtId="0" fontId="24" fillId="17" borderId="29" xfId="0" applyFont="1" applyFill="1" applyBorder="1" applyAlignment="1">
      <alignment horizontal="right"/>
    </xf>
    <xf numFmtId="0" fontId="8" fillId="15" borderId="0" xfId="4" applyFont="1" applyFill="1" applyAlignment="1">
      <alignment horizontal="center" vertical="center"/>
    </xf>
    <xf numFmtId="0" fontId="17" fillId="0" borderId="0" xfId="0" applyFont="1"/>
    <xf numFmtId="0" fontId="26" fillId="0" borderId="0" xfId="0" applyFont="1" applyAlignment="1">
      <alignment horizontal="left" vertical="center" wrapText="1"/>
    </xf>
    <xf numFmtId="0" fontId="27" fillId="0" borderId="0" xfId="0" applyFont="1"/>
    <xf numFmtId="10" fontId="17" fillId="0" borderId="0" xfId="3" applyNumberFormat="1" applyFont="1"/>
    <xf numFmtId="0" fontId="26" fillId="0" borderId="0" xfId="0" applyFont="1"/>
    <xf numFmtId="0" fontId="27" fillId="0" borderId="0" xfId="0" applyFont="1" applyAlignment="1"/>
    <xf numFmtId="4" fontId="0" fillId="0" borderId="0" xfId="2" applyNumberFormat="1" applyFont="1" applyFill="1" applyBorder="1" applyAlignment="1">
      <alignment horizontal="right" vertical="center"/>
    </xf>
    <xf numFmtId="17" fontId="17" fillId="0" borderId="0" xfId="0" applyNumberFormat="1" applyFont="1" applyBorder="1" applyAlignment="1">
      <alignment horizontal="right"/>
    </xf>
    <xf numFmtId="4" fontId="17" fillId="0" borderId="0" xfId="2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43" fontId="25" fillId="17" borderId="11" xfId="1" applyFont="1" applyFill="1" applyBorder="1" applyAlignment="1">
      <alignment horizontal="right" vertical="center"/>
    </xf>
    <xf numFmtId="17" fontId="0" fillId="0" borderId="0" xfId="0" applyNumberFormat="1" applyFill="1" applyBorder="1" applyAlignment="1">
      <alignment horizontal="right"/>
    </xf>
    <xf numFmtId="0" fontId="12" fillId="0" borderId="0" xfId="0" applyFont="1" applyAlignment="1"/>
    <xf numFmtId="43" fontId="0" fillId="0" borderId="29" xfId="1" applyFont="1" applyBorder="1"/>
    <xf numFmtId="43" fontId="5" fillId="0" borderId="29" xfId="1" applyFont="1" applyFill="1" applyBorder="1"/>
    <xf numFmtId="43" fontId="0" fillId="0" borderId="0" xfId="1" applyFont="1" applyAlignment="1">
      <alignment horizontal="right"/>
    </xf>
    <xf numFmtId="43" fontId="0" fillId="0" borderId="0" xfId="1" applyFont="1" applyBorder="1"/>
    <xf numFmtId="10" fontId="0" fillId="0" borderId="2" xfId="3" applyNumberFormat="1" applyFont="1" applyBorder="1"/>
    <xf numFmtId="0" fontId="25" fillId="18" borderId="0" xfId="7" applyNumberFormat="1" applyFont="1" applyFill="1" applyAlignment="1">
      <alignment horizontal="right"/>
    </xf>
    <xf numFmtId="43" fontId="25" fillId="18" borderId="0" xfId="1" applyFont="1" applyFill="1"/>
    <xf numFmtId="10" fontId="25" fillId="18" borderId="0" xfId="3" applyNumberFormat="1" applyFont="1" applyFill="1"/>
    <xf numFmtId="0" fontId="25" fillId="5" borderId="0" xfId="7" applyFont="1" applyAlignment="1">
      <alignment horizontal="right"/>
    </xf>
    <xf numFmtId="164" fontId="25" fillId="5" borderId="0" xfId="7" applyNumberFormat="1" applyFont="1"/>
    <xf numFmtId="10" fontId="25" fillId="5" borderId="0" xfId="7" applyNumberFormat="1" applyFont="1"/>
    <xf numFmtId="17" fontId="24" fillId="0" borderId="0" xfId="0" applyNumberFormat="1" applyFont="1" applyFill="1" applyBorder="1" applyAlignment="1">
      <alignment vertical="center" wrapText="1"/>
    </xf>
    <xf numFmtId="10" fontId="12" fillId="0" borderId="19" xfId="3" applyNumberFormat="1" applyFont="1" applyBorder="1"/>
    <xf numFmtId="10" fontId="12" fillId="0" borderId="3" xfId="3" applyNumberFormat="1" applyFont="1" applyBorder="1"/>
    <xf numFmtId="0" fontId="12" fillId="0" borderId="20" xfId="0" applyFont="1" applyBorder="1"/>
    <xf numFmtId="0" fontId="7" fillId="0" borderId="0" xfId="0" applyFont="1" applyAlignment="1">
      <alignment horizontal="right"/>
    </xf>
    <xf numFmtId="4" fontId="25" fillId="17" borderId="29" xfId="9" applyNumberFormat="1" applyFont="1" applyFill="1" applyBorder="1" applyAlignment="1">
      <alignment horizontal="right" vertical="center"/>
    </xf>
    <xf numFmtId="4" fontId="24" fillId="17" borderId="29" xfId="9" applyNumberFormat="1" applyFont="1" applyFill="1" applyBorder="1" applyAlignment="1">
      <alignment horizontal="right" vertical="center"/>
    </xf>
    <xf numFmtId="43" fontId="34" fillId="0" borderId="0" xfId="1" applyFont="1" applyFill="1"/>
    <xf numFmtId="10" fontId="18" fillId="0" borderId="0" xfId="3" applyNumberFormat="1" applyFont="1" applyFill="1"/>
    <xf numFmtId="10" fontId="34" fillId="0" borderId="0" xfId="3" applyNumberFormat="1" applyFont="1" applyFill="1"/>
    <xf numFmtId="0" fontId="0" fillId="0" borderId="0" xfId="3" applyNumberFormat="1" applyFont="1"/>
    <xf numFmtId="10" fontId="12" fillId="0" borderId="1" xfId="3" applyNumberFormat="1" applyFont="1" applyBorder="1" applyAlignment="1">
      <alignment horizontal="justify" vertical="center" wrapText="1"/>
    </xf>
    <xf numFmtId="9" fontId="12" fillId="0" borderId="1" xfId="0" applyNumberFormat="1" applyFont="1" applyBorder="1" applyAlignment="1">
      <alignment horizontal="justify" vertical="center" wrapText="1"/>
    </xf>
    <xf numFmtId="0" fontId="0" fillId="9" borderId="0" xfId="0" applyFill="1" applyAlignment="1"/>
    <xf numFmtId="43" fontId="35" fillId="0" borderId="0" xfId="1" applyFont="1" applyFill="1"/>
    <xf numFmtId="10" fontId="8" fillId="0" borderId="0" xfId="3" applyNumberFormat="1" applyFont="1" applyFill="1"/>
    <xf numFmtId="0" fontId="29" fillId="0" borderId="0" xfId="7" applyNumberFormat="1" applyFont="1" applyFill="1" applyAlignment="1">
      <alignment horizontal="right"/>
    </xf>
    <xf numFmtId="43" fontId="29" fillId="0" borderId="0" xfId="1" applyFont="1" applyFill="1"/>
    <xf numFmtId="10" fontId="29" fillId="0" borderId="0" xfId="3" applyNumberFormat="1" applyFont="1" applyFill="1"/>
    <xf numFmtId="0" fontId="35" fillId="0" borderId="0" xfId="0" applyFont="1" applyFill="1"/>
    <xf numFmtId="0" fontId="8" fillId="0" borderId="0" xfId="0" applyFont="1" applyFill="1" applyAlignment="1">
      <alignment horizontal="right"/>
    </xf>
    <xf numFmtId="43" fontId="8" fillId="0" borderId="0" xfId="0" applyNumberFormat="1" applyFont="1" applyFill="1"/>
    <xf numFmtId="0" fontId="8" fillId="0" borderId="0" xfId="0" applyNumberFormat="1" applyFont="1" applyFill="1"/>
    <xf numFmtId="2" fontId="36" fillId="18" borderId="0" xfId="0" applyNumberFormat="1" applyFont="1" applyFill="1"/>
    <xf numFmtId="43" fontId="12" fillId="0" borderId="0" xfId="1" applyFont="1"/>
    <xf numFmtId="169" fontId="12" fillId="0" borderId="0" xfId="1" applyNumberFormat="1" applyFont="1"/>
    <xf numFmtId="0" fontId="8" fillId="15" borderId="0" xfId="4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right"/>
      <protection locked="0"/>
    </xf>
    <xf numFmtId="9" fontId="18" fillId="0" borderId="0" xfId="3" applyFont="1" applyFill="1" applyBorder="1" applyProtection="1">
      <protection locked="0"/>
    </xf>
    <xf numFmtId="1" fontId="18" fillId="0" borderId="0" xfId="2" applyNumberFormat="1" applyFont="1" applyFill="1" applyBorder="1" applyProtection="1">
      <protection locked="0"/>
    </xf>
    <xf numFmtId="4" fontId="0" fillId="0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17" fontId="0" fillId="0" borderId="0" xfId="0" applyNumberForma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9" fontId="0" fillId="0" borderId="0" xfId="3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43" fontId="0" fillId="0" borderId="0" xfId="0" applyNumberFormat="1" applyProtection="1">
      <protection locked="0"/>
    </xf>
    <xf numFmtId="164" fontId="0" fillId="0" borderId="0" xfId="2" applyFont="1" applyProtection="1">
      <protection locked="0"/>
    </xf>
    <xf numFmtId="0" fontId="7" fillId="0" borderId="0" xfId="0" applyFont="1" applyProtection="1">
      <protection locked="0"/>
    </xf>
    <xf numFmtId="10" fontId="0" fillId="0" borderId="0" xfId="3" applyNumberFormat="1" applyFont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34" fillId="0" borderId="0" xfId="3" applyNumberFormat="1" applyFont="1" applyFill="1" applyProtection="1">
      <protection locked="0"/>
    </xf>
    <xf numFmtId="10" fontId="17" fillId="0" borderId="0" xfId="3" applyNumberFormat="1" applyFont="1" applyProtection="1">
      <protection locked="0"/>
    </xf>
    <xf numFmtId="167" fontId="0" fillId="0" borderId="0" xfId="2" applyNumberFormat="1" applyFont="1" applyAlignment="1" applyProtection="1">
      <alignment horizontal="center"/>
      <protection locked="0"/>
    </xf>
    <xf numFmtId="166" fontId="0" fillId="0" borderId="0" xfId="2" applyNumberFormat="1" applyFont="1" applyAlignment="1" applyProtection="1">
      <alignment horizontal="center"/>
      <protection locked="0"/>
    </xf>
    <xf numFmtId="4" fontId="0" fillId="9" borderId="12" xfId="2" applyNumberFormat="1" applyFont="1" applyFill="1" applyBorder="1" applyAlignment="1" applyProtection="1">
      <alignment horizontal="right" vertical="center"/>
      <protection locked="0"/>
    </xf>
    <xf numFmtId="4" fontId="0" fillId="9" borderId="13" xfId="2" applyNumberFormat="1" applyFont="1" applyFill="1" applyBorder="1" applyAlignment="1" applyProtection="1">
      <alignment horizontal="right" vertical="center"/>
      <protection locked="0"/>
    </xf>
    <xf numFmtId="4" fontId="0" fillId="9" borderId="14" xfId="2" applyNumberFormat="1" applyFont="1" applyFill="1" applyBorder="1" applyAlignment="1" applyProtection="1">
      <alignment horizontal="right" vertical="center"/>
      <protection locked="0"/>
    </xf>
    <xf numFmtId="168" fontId="0" fillId="9" borderId="14" xfId="2" applyNumberFormat="1" applyFont="1" applyFill="1" applyBorder="1" applyAlignment="1" applyProtection="1">
      <alignment horizontal="right" vertical="center"/>
      <protection locked="0"/>
    </xf>
    <xf numFmtId="4" fontId="0" fillId="9" borderId="15" xfId="2" applyNumberFormat="1" applyFont="1" applyFill="1" applyBorder="1" applyAlignment="1" applyProtection="1">
      <alignment horizontal="right" vertical="center"/>
      <protection locked="0"/>
    </xf>
    <xf numFmtId="4" fontId="0" fillId="9" borderId="16" xfId="2" applyNumberFormat="1" applyFont="1" applyFill="1" applyBorder="1" applyAlignment="1" applyProtection="1">
      <alignment horizontal="right" vertical="center"/>
      <protection locked="0"/>
    </xf>
    <xf numFmtId="4" fontId="0" fillId="9" borderId="17" xfId="2" applyNumberFormat="1" applyFont="1" applyFill="1" applyBorder="1" applyAlignment="1" applyProtection="1">
      <alignment horizontal="right" vertical="center"/>
      <protection locked="0"/>
    </xf>
    <xf numFmtId="17" fontId="17" fillId="0" borderId="0" xfId="0" applyNumberFormat="1" applyFont="1" applyBorder="1" applyAlignment="1" applyProtection="1">
      <alignment horizontal="right"/>
      <protection locked="0"/>
    </xf>
    <xf numFmtId="4" fontId="17" fillId="0" borderId="0" xfId="2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164" fontId="17" fillId="0" borderId="0" xfId="2" applyFont="1" applyProtection="1">
      <protection locked="0"/>
    </xf>
    <xf numFmtId="0" fontId="22" fillId="0" borderId="0" xfId="7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164" fontId="17" fillId="0" borderId="0" xfId="2" applyFont="1" applyFill="1" applyProtection="1">
      <protection locked="0"/>
    </xf>
    <xf numFmtId="10" fontId="17" fillId="0" borderId="0" xfId="3" applyNumberFormat="1" applyFont="1" applyFill="1" applyProtection="1">
      <protection locked="0"/>
    </xf>
    <xf numFmtId="43" fontId="22" fillId="0" borderId="0" xfId="1" applyFont="1" applyFill="1" applyProtection="1">
      <protection locked="0"/>
    </xf>
    <xf numFmtId="10" fontId="22" fillId="0" borderId="0" xfId="3" applyNumberFormat="1" applyFont="1" applyFill="1" applyProtection="1">
      <protection locked="0"/>
    </xf>
    <xf numFmtId="0" fontId="22" fillId="0" borderId="0" xfId="7" applyFont="1" applyFill="1" applyAlignment="1" applyProtection="1">
      <alignment horizontal="right"/>
      <protection locked="0"/>
    </xf>
    <xf numFmtId="164" fontId="22" fillId="0" borderId="0" xfId="7" applyNumberFormat="1" applyFont="1" applyFill="1" applyProtection="1">
      <protection locked="0"/>
    </xf>
    <xf numFmtId="0" fontId="17" fillId="0" borderId="0" xfId="0" applyFont="1" applyFill="1" applyAlignment="1" applyProtection="1">
      <alignment horizontal="right"/>
      <protection locked="0"/>
    </xf>
    <xf numFmtId="43" fontId="17" fillId="0" borderId="0" xfId="0" applyNumberFormat="1" applyFont="1" applyFill="1" applyProtection="1">
      <protection locked="0"/>
    </xf>
    <xf numFmtId="9" fontId="17" fillId="0" borderId="0" xfId="3" applyFont="1" applyFill="1" applyProtection="1">
      <protection locked="0"/>
    </xf>
    <xf numFmtId="43" fontId="17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protection locked="0"/>
    </xf>
    <xf numFmtId="164" fontId="0" fillId="0" borderId="1" xfId="2" applyFont="1" applyBorder="1" applyAlignment="1" applyProtection="1">
      <alignment horizontal="center" vertical="center"/>
      <protection locked="0"/>
    </xf>
    <xf numFmtId="43" fontId="0" fillId="0" borderId="29" xfId="1" applyFont="1" applyBorder="1" applyProtection="1">
      <protection locked="0"/>
    </xf>
    <xf numFmtId="43" fontId="0" fillId="0" borderId="0" xfId="3" applyNumberFormat="1" applyFont="1" applyProtection="1">
      <protection locked="0"/>
    </xf>
    <xf numFmtId="43" fontId="0" fillId="0" borderId="0" xfId="0" applyNumberFormat="1" applyAlignment="1" applyProtection="1">
      <alignment horizontal="right"/>
      <protection locked="0"/>
    </xf>
    <xf numFmtId="10" fontId="1" fillId="0" borderId="0" xfId="3" applyNumberFormat="1" applyFont="1"/>
    <xf numFmtId="43" fontId="0" fillId="0" borderId="0" xfId="0" applyNumberFormat="1" applyFill="1" applyProtection="1">
      <protection locked="0"/>
    </xf>
    <xf numFmtId="0" fontId="24" fillId="17" borderId="29" xfId="0" applyFont="1" applyFill="1" applyBorder="1" applyAlignment="1">
      <alignment horizontal="right"/>
    </xf>
    <xf numFmtId="167" fontId="0" fillId="9" borderId="29" xfId="2" applyNumberFormat="1" applyFont="1" applyFill="1" applyBorder="1" applyAlignment="1" applyProtection="1">
      <alignment horizontal="center"/>
      <protection locked="0"/>
    </xf>
    <xf numFmtId="166" fontId="0" fillId="9" borderId="30" xfId="2" applyNumberFormat="1" applyFont="1" applyFill="1" applyBorder="1" applyAlignment="1" applyProtection="1">
      <alignment horizontal="center"/>
      <protection locked="0"/>
    </xf>
    <xf numFmtId="43" fontId="0" fillId="9" borderId="30" xfId="1" applyFont="1" applyFill="1" applyBorder="1" applyAlignment="1" applyProtection="1">
      <alignment horizontal="center"/>
      <protection locked="0"/>
    </xf>
    <xf numFmtId="43" fontId="25" fillId="17" borderId="11" xfId="1" applyFont="1" applyFill="1" applyBorder="1" applyAlignment="1">
      <alignment horizontal="center" vertical="center"/>
    </xf>
    <xf numFmtId="0" fontId="0" fillId="9" borderId="29" xfId="0" applyFill="1" applyBorder="1" applyAlignment="1" applyProtection="1">
      <alignment horizontal="center" vertical="center"/>
      <protection locked="0"/>
    </xf>
    <xf numFmtId="164" fontId="0" fillId="9" borderId="29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170" fontId="0" fillId="0" borderId="0" xfId="3" applyNumberFormat="1" applyFont="1" applyAlignment="1">
      <alignment horizontal="center"/>
    </xf>
    <xf numFmtId="0" fontId="24" fillId="17" borderId="0" xfId="0" applyFont="1" applyFill="1" applyAlignment="1">
      <alignment horizontal="center"/>
    </xf>
    <xf numFmtId="43" fontId="0" fillId="0" borderId="0" xfId="1" applyFont="1" applyAlignment="1">
      <alignment horizontal="center"/>
    </xf>
    <xf numFmtId="171" fontId="0" fillId="9" borderId="29" xfId="1" applyNumberFormat="1" applyFont="1" applyFill="1" applyBorder="1" applyAlignment="1" applyProtection="1">
      <alignment horizontal="center" vertical="center"/>
      <protection locked="0"/>
    </xf>
    <xf numFmtId="171" fontId="24" fillId="17" borderId="29" xfId="1" applyNumberFormat="1" applyFont="1" applyFill="1" applyBorder="1" applyAlignment="1" applyProtection="1">
      <alignment horizontal="center" vertical="center"/>
      <protection locked="0"/>
    </xf>
    <xf numFmtId="171" fontId="25" fillId="17" borderId="29" xfId="1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10" fontId="24" fillId="17" borderId="29" xfId="3" applyNumberFormat="1" applyFont="1" applyFill="1" applyBorder="1" applyAlignment="1">
      <alignment horizontal="center" vertical="center"/>
    </xf>
    <xf numFmtId="10" fontId="24" fillId="17" borderId="29" xfId="0" applyNumberFormat="1" applyFont="1" applyFill="1" applyBorder="1" applyAlignment="1">
      <alignment horizontal="center" vertical="center"/>
    </xf>
    <xf numFmtId="43" fontId="24" fillId="17" borderId="29" xfId="1" applyFont="1" applyFill="1" applyBorder="1" applyAlignment="1">
      <alignment horizontal="center" vertical="center"/>
    </xf>
    <xf numFmtId="4" fontId="24" fillId="17" borderId="29" xfId="0" applyNumberFormat="1" applyFont="1" applyFill="1" applyBorder="1" applyAlignment="1">
      <alignment horizontal="center" vertical="center"/>
    </xf>
    <xf numFmtId="2" fontId="25" fillId="17" borderId="29" xfId="1" applyNumberFormat="1" applyFont="1" applyFill="1" applyBorder="1" applyAlignment="1">
      <alignment horizontal="center" vertical="center"/>
    </xf>
    <xf numFmtId="2" fontId="25" fillId="17" borderId="39" xfId="1" applyNumberFormat="1" applyFont="1" applyFill="1" applyBorder="1" applyAlignment="1">
      <alignment horizontal="center" vertical="center"/>
    </xf>
    <xf numFmtId="164" fontId="25" fillId="17" borderId="29" xfId="2" applyFont="1" applyFill="1" applyBorder="1" applyAlignment="1">
      <alignment horizontal="center" vertical="center"/>
    </xf>
    <xf numFmtId="1" fontId="25" fillId="17" borderId="29" xfId="1" applyNumberFormat="1" applyFont="1" applyFill="1" applyBorder="1" applyAlignment="1">
      <alignment horizontal="center" vertical="center"/>
    </xf>
    <xf numFmtId="9" fontId="18" fillId="9" borderId="29" xfId="3" applyFont="1" applyFill="1" applyBorder="1" applyAlignment="1" applyProtection="1">
      <alignment horizontal="center"/>
      <protection locked="0"/>
    </xf>
    <xf numFmtId="9" fontId="18" fillId="9" borderId="29" xfId="3" applyFont="1" applyFill="1" applyBorder="1" applyAlignment="1" applyProtection="1">
      <alignment horizontal="center" vertical="center"/>
      <protection locked="0"/>
    </xf>
    <xf numFmtId="9" fontId="18" fillId="9" borderId="29" xfId="2" applyNumberFormat="1" applyFont="1" applyFill="1" applyBorder="1" applyAlignment="1" applyProtection="1">
      <alignment horizontal="center"/>
      <protection locked="0"/>
    </xf>
    <xf numFmtId="9" fontId="18" fillId="9" borderId="29" xfId="2" applyNumberFormat="1" applyFont="1" applyFill="1" applyBorder="1" applyAlignment="1" applyProtection="1">
      <alignment horizontal="center" vertical="center"/>
      <protection locked="0"/>
    </xf>
    <xf numFmtId="9" fontId="0" fillId="9" borderId="29" xfId="3" applyFont="1" applyFill="1" applyBorder="1" applyAlignment="1" applyProtection="1">
      <alignment horizontal="center" vertical="center"/>
      <protection locked="0"/>
    </xf>
    <xf numFmtId="1" fontId="18" fillId="9" borderId="29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/>
    <xf numFmtId="0" fontId="0" fillId="0" borderId="2" xfId="0" applyNumberFormat="1" applyBorder="1"/>
    <xf numFmtId="43" fontId="0" fillId="0" borderId="0" xfId="1" applyFont="1" applyBorder="1" applyAlignment="1">
      <alignment horizontal="right"/>
    </xf>
    <xf numFmtId="43" fontId="0" fillId="0" borderId="2" xfId="1" applyFont="1" applyBorder="1"/>
    <xf numFmtId="10" fontId="0" fillId="0" borderId="0" xfId="3" applyNumberFormat="1" applyFont="1" applyBorder="1"/>
    <xf numFmtId="0" fontId="0" fillId="0" borderId="2" xfId="0" applyNumberFormat="1" applyBorder="1" applyAlignment="1">
      <alignment horizontal="right"/>
    </xf>
    <xf numFmtId="10" fontId="0" fillId="0" borderId="30" xfId="3" applyNumberFormat="1" applyFont="1" applyBorder="1" applyAlignment="1">
      <alignment horizontal="left"/>
    </xf>
    <xf numFmtId="164" fontId="0" fillId="0" borderId="30" xfId="2" applyFont="1" applyBorder="1"/>
    <xf numFmtId="164" fontId="0" fillId="0" borderId="29" xfId="2" applyFont="1" applyBorder="1"/>
    <xf numFmtId="43" fontId="0" fillId="0" borderId="29" xfId="1" applyFont="1" applyBorder="1" applyAlignment="1">
      <alignment horizontal="right"/>
    </xf>
    <xf numFmtId="43" fontId="0" fillId="0" borderId="29" xfId="1" applyFont="1" applyBorder="1" applyAlignment="1">
      <alignment horizontal="right" vertical="center"/>
    </xf>
    <xf numFmtId="164" fontId="20" fillId="3" borderId="29" xfId="2" applyFont="1" applyFill="1" applyBorder="1"/>
    <xf numFmtId="0" fontId="0" fillId="0" borderId="41" xfId="0" applyBorder="1" applyAlignment="1">
      <alignment horizontal="right"/>
    </xf>
    <xf numFmtId="0" fontId="0" fillId="0" borderId="41" xfId="0" applyBorder="1"/>
    <xf numFmtId="0" fontId="5" fillId="0" borderId="41" xfId="5" applyFill="1" applyBorder="1" applyAlignment="1">
      <alignment horizontal="right"/>
    </xf>
    <xf numFmtId="0" fontId="17" fillId="0" borderId="41" xfId="0" applyFont="1" applyBorder="1"/>
    <xf numFmtId="0" fontId="20" fillId="3" borderId="8" xfId="5" applyFont="1" applyBorder="1" applyAlignment="1">
      <alignment horizontal="right"/>
    </xf>
    <xf numFmtId="43" fontId="20" fillId="3" borderId="9" xfId="1" applyFont="1" applyFill="1" applyBorder="1"/>
    <xf numFmtId="10" fontId="20" fillId="3" borderId="10" xfId="3" applyNumberFormat="1" applyFont="1" applyFill="1" applyBorder="1" applyAlignment="1">
      <alignment horizontal="left"/>
    </xf>
    <xf numFmtId="164" fontId="0" fillId="0" borderId="41" xfId="2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10" fontId="0" fillId="0" borderId="30" xfId="2" applyNumberFormat="1" applyFont="1" applyBorder="1" applyAlignment="1">
      <alignment horizontal="left"/>
    </xf>
    <xf numFmtId="0" fontId="20" fillId="3" borderId="41" xfId="5" applyFont="1" applyBorder="1" applyAlignment="1">
      <alignment horizontal="right"/>
    </xf>
    <xf numFmtId="10" fontId="20" fillId="3" borderId="30" xfId="5" applyNumberFormat="1" applyFont="1" applyBorder="1" applyAlignment="1">
      <alignment horizontal="left"/>
    </xf>
    <xf numFmtId="0" fontId="25" fillId="18" borderId="0" xfId="3" applyNumberFormat="1" applyFont="1" applyFill="1"/>
    <xf numFmtId="0" fontId="0" fillId="0" borderId="49" xfId="0" applyBorder="1"/>
    <xf numFmtId="0" fontId="0" fillId="0" borderId="0" xfId="0" applyBorder="1"/>
    <xf numFmtId="0" fontId="0" fillId="0" borderId="50" xfId="0" applyBorder="1"/>
    <xf numFmtId="164" fontId="21" fillId="22" borderId="0" xfId="2" applyFont="1" applyFill="1" applyBorder="1" applyAlignment="1" applyProtection="1">
      <alignment horizontal="center" vertical="center"/>
      <protection locked="0"/>
    </xf>
    <xf numFmtId="164" fontId="21" fillId="22" borderId="42" xfId="2" applyFont="1" applyFill="1" applyBorder="1" applyAlignment="1" applyProtection="1">
      <alignment horizontal="center" vertical="center"/>
      <protection locked="0"/>
    </xf>
    <xf numFmtId="164" fontId="21" fillId="22" borderId="54" xfId="2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49" xfId="0" applyBorder="1" applyProtection="1"/>
    <xf numFmtId="0" fontId="0" fillId="0" borderId="0" xfId="0" applyBorder="1" applyProtection="1"/>
    <xf numFmtId="0" fontId="0" fillId="0" borderId="50" xfId="0" applyBorder="1" applyProtection="1"/>
    <xf numFmtId="0" fontId="42" fillId="21" borderId="49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5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44" fillId="0" borderId="0" xfId="10" applyFont="1" applyFill="1" applyBorder="1" applyAlignment="1" applyProtection="1">
      <alignment horizontal="center" vertical="center" wrapText="1"/>
    </xf>
    <xf numFmtId="171" fontId="42" fillId="0" borderId="0" xfId="1" applyNumberFormat="1" applyFont="1" applyFill="1" applyBorder="1" applyAlignment="1" applyProtection="1">
      <alignment horizontal="center" vertical="center"/>
    </xf>
    <xf numFmtId="0" fontId="21" fillId="0" borderId="50" xfId="0" applyFont="1" applyFill="1" applyBorder="1" applyAlignment="1" applyProtection="1">
      <alignment horizontal="center" vertical="center"/>
    </xf>
    <xf numFmtId="0" fontId="48" fillId="23" borderId="49" xfId="10" applyFont="1" applyFill="1" applyBorder="1" applyAlignment="1" applyProtection="1">
      <alignment horizontal="center" vertical="center"/>
    </xf>
    <xf numFmtId="0" fontId="48" fillId="23" borderId="0" xfId="10" applyFont="1" applyFill="1" applyBorder="1" applyAlignment="1" applyProtection="1">
      <alignment horizontal="center" vertical="center"/>
    </xf>
    <xf numFmtId="0" fontId="46" fillId="23" borderId="0" xfId="10" applyFont="1" applyFill="1" applyBorder="1" applyAlignment="1" applyProtection="1">
      <alignment horizontal="center" vertical="center" wrapText="1"/>
    </xf>
    <xf numFmtId="0" fontId="46" fillId="23" borderId="50" xfId="1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/>
    </xf>
    <xf numFmtId="0" fontId="42" fillId="21" borderId="49" xfId="0" applyFont="1" applyFill="1" applyBorder="1" applyAlignment="1" applyProtection="1">
      <alignment horizontal="left" vertical="center" indent="2"/>
    </xf>
    <xf numFmtId="10" fontId="42" fillId="17" borderId="0" xfId="0" applyNumberFormat="1" applyFont="1" applyFill="1" applyBorder="1" applyAlignment="1" applyProtection="1">
      <alignment horizontal="center" vertical="center"/>
    </xf>
    <xf numFmtId="164" fontId="42" fillId="17" borderId="0" xfId="2" applyFont="1" applyFill="1" applyBorder="1" applyAlignment="1" applyProtection="1">
      <alignment horizontal="center" vertical="center"/>
    </xf>
    <xf numFmtId="10" fontId="42" fillId="21" borderId="0" xfId="0" applyNumberFormat="1" applyFont="1" applyFill="1" applyBorder="1" applyAlignment="1" applyProtection="1">
      <alignment horizontal="center" vertical="center"/>
    </xf>
    <xf numFmtId="164" fontId="42" fillId="21" borderId="50" xfId="2" applyFont="1" applyFill="1" applyBorder="1" applyAlignment="1" applyProtection="1">
      <alignment horizontal="center" vertical="center"/>
    </xf>
    <xf numFmtId="0" fontId="42" fillId="21" borderId="51" xfId="0" applyFont="1" applyFill="1" applyBorder="1" applyAlignment="1" applyProtection="1">
      <alignment horizontal="left" vertical="center" indent="2"/>
    </xf>
    <xf numFmtId="10" fontId="42" fillId="17" borderId="42" xfId="0" applyNumberFormat="1" applyFont="1" applyFill="1" applyBorder="1" applyAlignment="1" applyProtection="1">
      <alignment horizontal="center" vertical="center"/>
    </xf>
    <xf numFmtId="164" fontId="42" fillId="17" borderId="42" xfId="2" applyFont="1" applyFill="1" applyBorder="1" applyAlignment="1" applyProtection="1">
      <alignment horizontal="center" vertical="center"/>
    </xf>
    <xf numFmtId="10" fontId="42" fillId="21" borderId="42" xfId="0" applyNumberFormat="1" applyFont="1" applyFill="1" applyBorder="1" applyAlignment="1" applyProtection="1">
      <alignment horizontal="center" vertical="center"/>
    </xf>
    <xf numFmtId="164" fontId="42" fillId="21" borderId="52" xfId="2" applyFont="1" applyFill="1" applyBorder="1" applyAlignment="1" applyProtection="1">
      <alignment horizontal="center" vertical="center"/>
    </xf>
    <xf numFmtId="0" fontId="42" fillId="21" borderId="53" xfId="0" applyFont="1" applyFill="1" applyBorder="1" applyAlignment="1" applyProtection="1">
      <alignment horizontal="left" vertical="center" indent="2"/>
    </xf>
    <xf numFmtId="10" fontId="42" fillId="17" borderId="54" xfId="0" applyNumberFormat="1" applyFont="1" applyFill="1" applyBorder="1" applyAlignment="1" applyProtection="1">
      <alignment horizontal="center" vertical="center"/>
    </xf>
    <xf numFmtId="164" fontId="42" fillId="17" borderId="54" xfId="2" applyFont="1" applyFill="1" applyBorder="1" applyAlignment="1" applyProtection="1">
      <alignment horizontal="center" vertical="center"/>
    </xf>
    <xf numFmtId="10" fontId="42" fillId="21" borderId="54" xfId="0" applyNumberFormat="1" applyFont="1" applyFill="1" applyBorder="1" applyAlignment="1" applyProtection="1">
      <alignment horizontal="center" vertical="center"/>
    </xf>
    <xf numFmtId="164" fontId="42" fillId="21" borderId="55" xfId="2" applyFont="1" applyFill="1" applyBorder="1" applyAlignment="1" applyProtection="1">
      <alignment horizontal="center" vertical="center"/>
    </xf>
    <xf numFmtId="43" fontId="0" fillId="0" borderId="0" xfId="0" applyNumberFormat="1" applyProtection="1"/>
    <xf numFmtId="44" fontId="0" fillId="0" borderId="0" xfId="0" applyNumberFormat="1" applyProtection="1"/>
    <xf numFmtId="10" fontId="42" fillId="21" borderId="0" xfId="3" applyNumberFormat="1" applyFont="1" applyFill="1" applyBorder="1" applyAlignment="1" applyProtection="1">
      <alignment horizontal="center" vertical="center"/>
    </xf>
    <xf numFmtId="0" fontId="47" fillId="21" borderId="49" xfId="1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45" fillId="0" borderId="43" xfId="0" applyFont="1" applyBorder="1" applyAlignment="1">
      <alignment horizontal="left" vertical="top" wrapText="1"/>
    </xf>
    <xf numFmtId="0" fontId="45" fillId="0" borderId="44" xfId="0" applyFont="1" applyBorder="1" applyAlignment="1">
      <alignment horizontal="left" vertical="top"/>
    </xf>
    <xf numFmtId="0" fontId="45" fillId="0" borderId="45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5" fillId="0" borderId="44" xfId="0" applyFont="1" applyBorder="1" applyAlignment="1">
      <alignment horizontal="left" vertical="top" wrapText="1"/>
    </xf>
    <xf numFmtId="0" fontId="45" fillId="0" borderId="45" xfId="0" applyFont="1" applyBorder="1" applyAlignment="1">
      <alignment horizontal="left" vertical="top" wrapText="1"/>
    </xf>
    <xf numFmtId="0" fontId="11" fillId="23" borderId="49" xfId="10" applyFont="1" applyFill="1" applyBorder="1" applyAlignment="1" applyProtection="1">
      <alignment horizontal="center"/>
    </xf>
    <xf numFmtId="0" fontId="11" fillId="23" borderId="0" xfId="10" applyFont="1" applyFill="1" applyBorder="1" applyAlignment="1" applyProtection="1">
      <alignment horizontal="center"/>
    </xf>
    <xf numFmtId="0" fontId="11" fillId="23" borderId="50" xfId="10" applyFont="1" applyFill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1" fillId="15" borderId="0" xfId="10" applyFont="1" applyFill="1" applyAlignment="1">
      <alignment horizontal="center"/>
    </xf>
    <xf numFmtId="4" fontId="8" fillId="15" borderId="7" xfId="1" applyNumberFormat="1" applyFont="1" applyFill="1" applyBorder="1" applyAlignment="1">
      <alignment horizontal="center" vertical="center"/>
    </xf>
    <xf numFmtId="4" fontId="8" fillId="15" borderId="18" xfId="1" applyNumberFormat="1" applyFont="1" applyFill="1" applyBorder="1" applyAlignment="1">
      <alignment horizontal="center" vertical="center"/>
    </xf>
    <xf numFmtId="4" fontId="8" fillId="15" borderId="6" xfId="1" applyNumberFormat="1" applyFont="1" applyFill="1" applyBorder="1" applyAlignment="1">
      <alignment horizontal="center" vertical="center"/>
    </xf>
    <xf numFmtId="4" fontId="8" fillId="15" borderId="27" xfId="4" applyNumberFormat="1" applyFont="1" applyFill="1" applyBorder="1" applyAlignment="1">
      <alignment horizontal="center" vertical="center"/>
    </xf>
    <xf numFmtId="4" fontId="8" fillId="15" borderId="18" xfId="4" applyNumberFormat="1" applyFont="1" applyFill="1" applyBorder="1" applyAlignment="1">
      <alignment horizontal="center" vertical="center"/>
    </xf>
    <xf numFmtId="4" fontId="8" fillId="15" borderId="28" xfId="4" applyNumberFormat="1" applyFont="1" applyFill="1" applyBorder="1" applyAlignment="1">
      <alignment horizontal="center" vertical="center"/>
    </xf>
    <xf numFmtId="0" fontId="8" fillId="15" borderId="0" xfId="4" applyFont="1" applyFill="1" applyAlignment="1">
      <alignment horizontal="left" vertical="center"/>
    </xf>
    <xf numFmtId="39" fontId="0" fillId="9" borderId="0" xfId="1" applyNumberFormat="1" applyFont="1" applyFill="1" applyAlignment="1" applyProtection="1">
      <alignment horizontal="center" vertical="center"/>
      <protection locked="0"/>
    </xf>
    <xf numFmtId="0" fontId="28" fillId="9" borderId="38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5" fillId="17" borderId="0" xfId="9" applyFont="1" applyFill="1" applyAlignment="1">
      <alignment horizontal="center" vertical="center"/>
    </xf>
    <xf numFmtId="0" fontId="25" fillId="17" borderId="32" xfId="9" applyFont="1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left"/>
      <protection locked="0"/>
    </xf>
    <xf numFmtId="4" fontId="17" fillId="0" borderId="0" xfId="2" applyNumberFormat="1" applyFont="1" applyFill="1" applyBorder="1" applyAlignment="1">
      <alignment horizontal="left" vertical="center"/>
    </xf>
    <xf numFmtId="2" fontId="25" fillId="17" borderId="29" xfId="9" applyNumberFormat="1" applyFont="1" applyFill="1" applyBorder="1" applyAlignment="1">
      <alignment horizontal="center" vertical="center"/>
    </xf>
    <xf numFmtId="0" fontId="15" fillId="16" borderId="6" xfId="8" applyFont="1" applyFill="1" applyBorder="1" applyAlignment="1">
      <alignment horizontal="center"/>
    </xf>
    <xf numFmtId="0" fontId="15" fillId="16" borderId="40" xfId="8" applyFont="1" applyFill="1" applyBorder="1" applyAlignment="1">
      <alignment horizontal="center"/>
    </xf>
    <xf numFmtId="0" fontId="15" fillId="16" borderId="7" xfId="8" applyFont="1" applyFill="1" applyBorder="1" applyAlignment="1">
      <alignment horizontal="center"/>
    </xf>
    <xf numFmtId="0" fontId="25" fillId="5" borderId="0" xfId="7" applyFont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31" fillId="17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/>
    </xf>
    <xf numFmtId="0" fontId="8" fillId="15" borderId="0" xfId="4" applyFont="1" applyFill="1" applyAlignment="1">
      <alignment horizontal="center"/>
    </xf>
    <xf numFmtId="0" fontId="24" fillId="17" borderId="29" xfId="0" applyFont="1" applyFill="1" applyBorder="1" applyAlignment="1">
      <alignment horizontal="right"/>
    </xf>
    <xf numFmtId="0" fontId="24" fillId="17" borderId="29" xfId="9" applyFont="1" applyFill="1" applyBorder="1" applyAlignment="1">
      <alignment horizontal="right"/>
    </xf>
    <xf numFmtId="0" fontId="25" fillId="17" borderId="29" xfId="9" applyFont="1" applyFill="1" applyBorder="1" applyAlignment="1">
      <alignment horizontal="right"/>
    </xf>
    <xf numFmtId="0" fontId="8" fillId="15" borderId="0" xfId="4" applyFont="1" applyFill="1" applyAlignment="1">
      <alignment horizontal="right"/>
    </xf>
    <xf numFmtId="0" fontId="8" fillId="15" borderId="32" xfId="4" applyFont="1" applyFill="1" applyBorder="1" applyAlignment="1">
      <alignment horizontal="right"/>
    </xf>
    <xf numFmtId="0" fontId="24" fillId="17" borderId="0" xfId="9" applyFont="1" applyFill="1" applyBorder="1" applyAlignment="1">
      <alignment horizontal="right"/>
    </xf>
    <xf numFmtId="0" fontId="24" fillId="17" borderId="31" xfId="9" applyFont="1" applyFill="1" applyBorder="1" applyAlignment="1">
      <alignment horizontal="right"/>
    </xf>
    <xf numFmtId="0" fontId="8" fillId="15" borderId="0" xfId="4" applyFont="1" applyFill="1" applyBorder="1" applyAlignment="1">
      <alignment horizontal="right"/>
    </xf>
    <xf numFmtId="0" fontId="8" fillId="15" borderId="31" xfId="4" applyFont="1" applyFill="1" applyBorder="1" applyAlignment="1">
      <alignment horizontal="right"/>
    </xf>
    <xf numFmtId="0" fontId="15" fillId="16" borderId="29" xfId="8" applyFont="1" applyFill="1" applyBorder="1" applyAlignment="1">
      <alignment horizontal="center"/>
    </xf>
    <xf numFmtId="0" fontId="8" fillId="15" borderId="0" xfId="6" applyFont="1" applyFill="1" applyAlignment="1">
      <alignment horizontal="center"/>
    </xf>
    <xf numFmtId="4" fontId="29" fillId="15" borderId="7" xfId="1" applyNumberFormat="1" applyFont="1" applyFill="1" applyBorder="1" applyAlignment="1">
      <alignment horizontal="center" vertical="center"/>
    </xf>
    <xf numFmtId="4" fontId="29" fillId="15" borderId="18" xfId="1" applyNumberFormat="1" applyFont="1" applyFill="1" applyBorder="1" applyAlignment="1">
      <alignment horizontal="center" vertical="center"/>
    </xf>
    <xf numFmtId="4" fontId="29" fillId="15" borderId="6" xfId="1" applyNumberFormat="1" applyFont="1" applyFill="1" applyBorder="1" applyAlignment="1">
      <alignment horizontal="center" vertical="center"/>
    </xf>
    <xf numFmtId="4" fontId="29" fillId="15" borderId="34" xfId="4" applyNumberFormat="1" applyFont="1" applyFill="1" applyBorder="1" applyAlignment="1">
      <alignment horizontal="center" vertical="center"/>
    </xf>
    <xf numFmtId="4" fontId="29" fillId="15" borderId="0" xfId="4" applyNumberFormat="1" applyFont="1" applyFill="1" applyBorder="1" applyAlignment="1">
      <alignment horizontal="center" vertical="center"/>
    </xf>
    <xf numFmtId="4" fontId="29" fillId="15" borderId="35" xfId="4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8" fillId="15" borderId="41" xfId="6" applyFont="1" applyFill="1" applyBorder="1" applyAlignment="1">
      <alignment horizontal="center"/>
    </xf>
    <xf numFmtId="0" fontId="8" fillId="15" borderId="29" xfId="6" applyFont="1" applyFill="1" applyBorder="1" applyAlignment="1">
      <alignment horizontal="center"/>
    </xf>
    <xf numFmtId="0" fontId="8" fillId="15" borderId="30" xfId="6" applyFont="1" applyFill="1" applyBorder="1" applyAlignment="1">
      <alignment horizontal="center"/>
    </xf>
    <xf numFmtId="0" fontId="16" fillId="2" borderId="0" xfId="4" applyFont="1" applyAlignment="1">
      <alignment horizontal="center" vertical="center"/>
    </xf>
    <xf numFmtId="9" fontId="30" fillId="2" borderId="0" xfId="3" applyFont="1" applyFill="1" applyAlignment="1">
      <alignment horizontal="center" vertical="center"/>
    </xf>
    <xf numFmtId="0" fontId="16" fillId="2" borderId="0" xfId="4" applyFont="1" applyAlignment="1">
      <alignment horizontal="left" vertical="center"/>
    </xf>
    <xf numFmtId="17" fontId="24" fillId="17" borderId="0" xfId="0" applyNumberFormat="1" applyFont="1" applyFill="1" applyBorder="1" applyAlignment="1">
      <alignment horizontal="center" vertical="center" wrapText="1"/>
    </xf>
    <xf numFmtId="0" fontId="41" fillId="19" borderId="0" xfId="0" applyFont="1" applyFill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4" fillId="2" borderId="19" xfId="4" applyBorder="1" applyAlignment="1">
      <alignment horizontal="center" vertical="center" wrapText="1"/>
    </xf>
    <xf numFmtId="0" fontId="4" fillId="2" borderId="20" xfId="4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20" borderId="37" xfId="275" applyFont="1" applyBorder="1" applyAlignment="1" applyProtection="1">
      <alignment horizontal="center" wrapText="1"/>
      <protection locked="0"/>
    </xf>
    <xf numFmtId="0" fontId="39" fillId="15" borderId="0" xfId="0" applyFont="1" applyFill="1" applyAlignment="1">
      <alignment horizontal="left"/>
    </xf>
    <xf numFmtId="0" fontId="0" fillId="0" borderId="0" xfId="0" applyAlignment="1">
      <alignment horizontal="right"/>
    </xf>
  </cellXfs>
  <cellStyles count="276">
    <cellStyle name="20% - Ênfase1" xfId="7" builtinId="30"/>
    <cellStyle name="60% - Ênfase2" xfId="271" builtinId="36"/>
    <cellStyle name="60% - Ênfase3" xfId="272" builtinId="40"/>
    <cellStyle name="60% - Ênfase4" xfId="9" builtinId="44"/>
    <cellStyle name="60% - Ênfase5" xfId="273" builtinId="48"/>
    <cellStyle name="60% - Ênfase6" xfId="274" builtinId="52"/>
    <cellStyle name="Bom" xfId="4" builtinId="26"/>
    <cellStyle name="Ênfase3" xfId="8" builtinId="37"/>
    <cellStyle name="Ênfase6" xfId="10" builtinId="49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Moeda" xfId="2" builtinId="4"/>
    <cellStyle name="Neutro" xfId="6" builtinId="28"/>
    <cellStyle name="Normal" xfId="0" builtinId="0"/>
    <cellStyle name="Nota" xfId="275" builtinId="10"/>
    <cellStyle name="Porcentagem" xfId="3" builtinId="5"/>
    <cellStyle name="Ruim" xfId="5" builtinId="27"/>
    <cellStyle name="Vírgula" xfId="1" builtinId="3"/>
  </cellStyles>
  <dxfs count="9"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theme="3" tint="-0.24994659260841701"/>
      </font>
      <fill>
        <patternFill patternType="solid">
          <fgColor auto="1"/>
          <bgColor theme="4" tint="0.79998168889431442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 patternType="solid">
          <fgColor auto="1"/>
          <bgColor theme="4" tint="0.79998168889431442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</dxfs>
  <tableStyles count="0" defaultTableStyle="TableStyleMedium9" defaultPivotStyle="PivotStyleMedium4"/>
  <colors>
    <mruColors>
      <color rgb="FFB7D75A"/>
      <color rgb="FFB0D247"/>
      <color rgb="FF5B5B5F"/>
      <color rgb="FFFFDE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&#193;LCULO!B4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238125</xdr:rowOff>
    </xdr:from>
    <xdr:to>
      <xdr:col>11</xdr:col>
      <xdr:colOff>495300</xdr:colOff>
      <xdr:row>0</xdr:row>
      <xdr:rowOff>590550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B36AF0B-FDFF-4A33-8FD5-1EC89AF7A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38125"/>
          <a:ext cx="381000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806768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3732EE-A55D-4970-83FD-5F0A57025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933700" cy="806768"/>
        </a:xfrm>
        <a:prstGeom prst="rect">
          <a:avLst/>
        </a:prstGeom>
      </xdr:spPr>
    </xdr:pic>
    <xdr:clientData/>
  </xdr:twoCellAnchor>
  <xdr:twoCellAnchor>
    <xdr:from>
      <xdr:col>3</xdr:col>
      <xdr:colOff>11207</xdr:colOff>
      <xdr:row>8</xdr:row>
      <xdr:rowOff>89648</xdr:rowOff>
    </xdr:from>
    <xdr:to>
      <xdr:col>8</xdr:col>
      <xdr:colOff>638736</xdr:colOff>
      <xdr:row>8</xdr:row>
      <xdr:rowOff>649942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79D7A6-EB11-46F1-8692-BD467AAF94B7}"/>
            </a:ext>
          </a:extLst>
        </xdr:cNvPr>
        <xdr:cNvSpPr/>
      </xdr:nvSpPr>
      <xdr:spPr>
        <a:xfrm>
          <a:off x="2061883" y="6858001"/>
          <a:ext cx="4045324" cy="560294"/>
        </a:xfrm>
        <a:prstGeom prst="roundRect">
          <a:avLst/>
        </a:prstGeom>
        <a:solidFill>
          <a:srgbClr val="B7D75A"/>
        </a:solidFill>
        <a:ln>
          <a:solidFill>
            <a:srgbClr val="B7D75A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CLIQUE AQUI PARA ACESSAR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A SIMULAÇÃO</a:t>
          </a:r>
          <a:endParaRPr lang="pt-B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333375</xdr:rowOff>
    </xdr:from>
    <xdr:to>
      <xdr:col>5</xdr:col>
      <xdr:colOff>2343150</xdr:colOff>
      <xdr:row>0</xdr:row>
      <xdr:rowOff>685800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F367BD7-3A96-472D-AD28-0A4AB3E5B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50" y="333375"/>
          <a:ext cx="381000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161925</xdr:colOff>
      <xdr:row>0</xdr:row>
      <xdr:rowOff>902018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E3D01F9-F2E5-4DCE-81A0-17CDDDACE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2933700" cy="806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68AE4-1E44-496E-85C2-CCAE30C74137}">
  <sheetPr>
    <pageSetUpPr fitToPage="1"/>
  </sheetPr>
  <dimension ref="A1:L9"/>
  <sheetViews>
    <sheetView showGridLines="0" tabSelected="1" zoomScale="90" zoomScaleNormal="90" workbookViewId="0">
      <selection activeCell="T7" sqref="T7"/>
    </sheetView>
  </sheetViews>
  <sheetFormatPr defaultRowHeight="15.75" x14ac:dyDescent="0.25"/>
  <sheetData>
    <row r="1" spans="1:12" ht="65.25" customHeight="1" x14ac:dyDescent="0.25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16.5" thickBot="1" x14ac:dyDescent="0.3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162" customHeight="1" thickBot="1" x14ac:dyDescent="0.3">
      <c r="A3" s="273" t="s">
        <v>222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s="40" customFormat="1" ht="16.5" customHeight="1" thickBot="1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30"/>
    </row>
    <row r="5" spans="1:12" s="40" customFormat="1" ht="192.75" customHeight="1" thickBot="1" x14ac:dyDescent="0.3">
      <c r="A5" s="273" t="s">
        <v>223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6.5" customHeight="1" thickBot="1" x14ac:dyDescent="0.3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0"/>
    </row>
    <row r="7" spans="1:12" ht="50.25" customHeight="1" thickBot="1" x14ac:dyDescent="0.3">
      <c r="A7" s="273" t="s">
        <v>224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5"/>
    </row>
    <row r="8" spans="1:12" x14ac:dyDescent="0.25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</row>
    <row r="9" spans="1:12" ht="59.25" customHeight="1" thickBot="1" x14ac:dyDescent="0.3">
      <c r="A9" s="276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8"/>
    </row>
  </sheetData>
  <sheetProtection algorithmName="SHA-512" hashValue="8wxvfRnlf2GCinlFQ6TGBhGs4sfE/D+AqyY+TrbC6fSci6i/RlJOr47yuaOhdwGPaGT3/4G807WJiWR4r/coEg==" saltValue="nUC87InbJU+2tHTccEmAKQ==" spinCount="100000" sheet="1" objects="1" scenarios="1" selectLockedCells="1"/>
  <mergeCells count="5">
    <mergeCell ref="A1:L1"/>
    <mergeCell ref="A3:L3"/>
    <mergeCell ref="A7:L7"/>
    <mergeCell ref="A9:L9"/>
    <mergeCell ref="A5:L5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workbookViewId="0">
      <selection activeCell="B4" sqref="B4"/>
    </sheetView>
  </sheetViews>
  <sheetFormatPr defaultRowHeight="15.75" x14ac:dyDescent="0.25"/>
  <cols>
    <col min="1" max="1" width="36.375" style="234" customWidth="1"/>
    <col min="2" max="2" width="20.625" style="234" customWidth="1"/>
    <col min="3" max="3" width="14.25" style="234" hidden="1" customWidth="1"/>
    <col min="4" max="4" width="19.75" style="234" hidden="1" customWidth="1"/>
    <col min="5" max="5" width="12.5" style="234" bestFit="1" customWidth="1"/>
    <col min="6" max="6" width="33.5" style="234" customWidth="1"/>
    <col min="7" max="16384" width="9" style="234"/>
  </cols>
  <sheetData>
    <row r="1" spans="1:6" ht="77.25" customHeight="1" x14ac:dyDescent="0.25">
      <c r="A1" s="284"/>
      <c r="B1" s="285"/>
      <c r="C1" s="285"/>
      <c r="D1" s="285"/>
      <c r="E1" s="285"/>
      <c r="F1" s="286"/>
    </row>
    <row r="2" spans="1:6" ht="31.5" x14ac:dyDescent="0.5">
      <c r="A2" s="281" t="s">
        <v>219</v>
      </c>
      <c r="B2" s="282"/>
      <c r="C2" s="282"/>
      <c r="D2" s="282"/>
      <c r="E2" s="282"/>
      <c r="F2" s="283"/>
    </row>
    <row r="3" spans="1:6" x14ac:dyDescent="0.25">
      <c r="A3" s="235"/>
      <c r="B3" s="236"/>
      <c r="C3" s="236"/>
      <c r="D3" s="236"/>
      <c r="E3" s="236"/>
      <c r="F3" s="237"/>
    </row>
    <row r="4" spans="1:6" s="241" customFormat="1" ht="35.1" customHeight="1" x14ac:dyDescent="0.25">
      <c r="A4" s="238" t="s">
        <v>208</v>
      </c>
      <c r="B4" s="231">
        <v>180000</v>
      </c>
      <c r="C4" s="239"/>
      <c r="D4" s="239"/>
      <c r="E4" s="239"/>
      <c r="F4" s="240"/>
    </row>
    <row r="5" spans="1:6" x14ac:dyDescent="0.25">
      <c r="A5" s="235"/>
      <c r="B5" s="236"/>
      <c r="C5" s="236"/>
      <c r="D5" s="236"/>
      <c r="E5" s="236"/>
      <c r="F5" s="237"/>
    </row>
    <row r="6" spans="1:6" s="241" customFormat="1" ht="35.1" customHeight="1" x14ac:dyDescent="0.25">
      <c r="A6" s="238" t="s">
        <v>209</v>
      </c>
      <c r="B6" s="231">
        <v>50420</v>
      </c>
      <c r="C6" s="239"/>
      <c r="D6" s="239"/>
      <c r="E6" s="239"/>
      <c r="F6" s="240"/>
    </row>
    <row r="7" spans="1:6" x14ac:dyDescent="0.25">
      <c r="A7" s="235"/>
      <c r="B7" s="236"/>
      <c r="C7" s="236"/>
      <c r="D7" s="236"/>
      <c r="E7" s="236"/>
      <c r="F7" s="237"/>
    </row>
    <row r="8" spans="1:6" s="241" customFormat="1" ht="35.1" customHeight="1" x14ac:dyDescent="0.25">
      <c r="A8" s="269" t="s">
        <v>218</v>
      </c>
      <c r="B8" s="268">
        <f>B6/B4</f>
        <v>0.28011111111111109</v>
      </c>
      <c r="C8" s="242"/>
      <c r="D8" s="243"/>
      <c r="E8" s="244"/>
      <c r="F8" s="245"/>
    </row>
    <row r="9" spans="1:6" x14ac:dyDescent="0.25">
      <c r="A9" s="235"/>
      <c r="B9" s="236"/>
      <c r="C9" s="236"/>
      <c r="D9" s="236"/>
      <c r="E9" s="236"/>
      <c r="F9" s="237"/>
    </row>
    <row r="10" spans="1:6" s="250" customFormat="1" ht="47.65" customHeight="1" x14ac:dyDescent="0.25">
      <c r="A10" s="246" t="s">
        <v>10</v>
      </c>
      <c r="B10" s="247" t="s">
        <v>220</v>
      </c>
      <c r="C10" s="248" t="s">
        <v>217</v>
      </c>
      <c r="D10" s="248" t="s">
        <v>190</v>
      </c>
      <c r="E10" s="248" t="s">
        <v>216</v>
      </c>
      <c r="F10" s="249" t="s">
        <v>221</v>
      </c>
    </row>
    <row r="11" spans="1:6" s="241" customFormat="1" ht="35.1" customHeight="1" x14ac:dyDescent="0.25">
      <c r="A11" s="251" t="s">
        <v>210</v>
      </c>
      <c r="B11" s="231">
        <v>0</v>
      </c>
      <c r="C11" s="252">
        <f>LOOKUP(B4,'3 Tabelas Simples Nacional 2018'!$A$2:$A$7,'3 Tabelas Simples Nacional 2018'!C2:C7)</f>
        <v>0.04</v>
      </c>
      <c r="D11" s="253">
        <f>LOOKUP(B4,'3 Tabelas Simples Nacional 2018'!$A$2:$A$7,'3 Tabelas Simples Nacional 2018'!D2:D7)</f>
        <v>0</v>
      </c>
      <c r="E11" s="254">
        <f>'2 Planejamento'!O21</f>
        <v>0.04</v>
      </c>
      <c r="F11" s="255">
        <f>'2 Planejamento'!N21</f>
        <v>0</v>
      </c>
    </row>
    <row r="12" spans="1:6" s="241" customFormat="1" ht="35.1" customHeight="1" thickBot="1" x14ac:dyDescent="0.3">
      <c r="A12" s="251" t="s">
        <v>211</v>
      </c>
      <c r="B12" s="231">
        <v>0</v>
      </c>
      <c r="C12" s="252">
        <f>LOOKUP($B$4,'3 Tabelas Simples Nacional 2018'!$A$2:$A$7,'3 Tabelas Simples Nacional 2018'!K2:K7)</f>
        <v>4.4999999999999998E-2</v>
      </c>
      <c r="D12" s="253">
        <f>LOOKUP($B$4,'3 Tabelas Simples Nacional 2018'!$A$2:$A$7,'3 Tabelas Simples Nacional 2018'!L2:L7)</f>
        <v>0</v>
      </c>
      <c r="E12" s="254">
        <f>'2 Planejamento'!O30</f>
        <v>4.4999999999999998E-2</v>
      </c>
      <c r="F12" s="255">
        <f>'2 Planejamento'!N30</f>
        <v>0</v>
      </c>
    </row>
    <row r="13" spans="1:6" s="241" customFormat="1" ht="35.1" customHeight="1" thickTop="1" thickBot="1" x14ac:dyDescent="0.3">
      <c r="A13" s="256" t="s">
        <v>212</v>
      </c>
      <c r="B13" s="232">
        <v>10000</v>
      </c>
      <c r="C13" s="257">
        <f>LOOKUP($B$4,'3 Tabelas Simples Nacional 2018'!$A$2:$A$7,'3 Tabelas Simples Nacional 2018'!T2:T7)</f>
        <v>0.06</v>
      </c>
      <c r="D13" s="258">
        <f>LOOKUP($B$4,'3 Tabelas Simples Nacional 2018'!$A$2:$A$7,'3 Tabelas Simples Nacional 2018'!U2:U7)</f>
        <v>0</v>
      </c>
      <c r="E13" s="259">
        <f>'2 Planejamento'!O40</f>
        <v>0.06</v>
      </c>
      <c r="F13" s="260">
        <f>'2 Planejamento'!N40</f>
        <v>600</v>
      </c>
    </row>
    <row r="14" spans="1:6" s="241" customFormat="1" ht="35.1" customHeight="1" thickTop="1" x14ac:dyDescent="0.25">
      <c r="A14" s="251" t="s">
        <v>214</v>
      </c>
      <c r="B14" s="231"/>
      <c r="C14" s="252">
        <f>LOOKUP($B$4,'3 Tabelas Simples Nacional 2018'!$A$2:$A$7,'3 Tabelas Simples Nacional 2018'!T2:T7)</f>
        <v>0.06</v>
      </c>
      <c r="D14" s="253">
        <f>LOOKUP($B$4,'3 Tabelas Simples Nacional 2018'!$A$2:$A$7,'3 Tabelas Simples Nacional 2018'!U2:U7)</f>
        <v>0</v>
      </c>
      <c r="E14" s="254" t="str">
        <f>IF(B14=0," ",'2 Planejamento'!O50)</f>
        <v xml:space="preserve"> </v>
      </c>
      <c r="F14" s="255">
        <f>'2 Planejamento'!N50</f>
        <v>0</v>
      </c>
    </row>
    <row r="15" spans="1:6" s="241" customFormat="1" ht="35.1" customHeight="1" x14ac:dyDescent="0.25">
      <c r="A15" s="251" t="s">
        <v>213</v>
      </c>
      <c r="B15" s="231">
        <v>0</v>
      </c>
      <c r="C15" s="252">
        <f>LOOKUP($B$4,'3 Tabelas Simples Nacional 2018'!$A$2:$A$7,'3 Tabelas Simples Nacional 2018'!AB2:AB7)</f>
        <v>4.4999999999999998E-2</v>
      </c>
      <c r="D15" s="253">
        <f>LOOKUP($B$4,'3 Tabelas Simples Nacional 2018'!$A$2:$A$7,'3 Tabelas Simples Nacional 2018'!AC2:AC7)</f>
        <v>0</v>
      </c>
      <c r="E15" s="254">
        <f>'2 Planejamento'!O58</f>
        <v>4.4999999999999998E-2</v>
      </c>
      <c r="F15" s="255">
        <f>'2 Planejamento'!N58</f>
        <v>0</v>
      </c>
    </row>
    <row r="16" spans="1:6" s="241" customFormat="1" ht="35.1" customHeight="1" thickBot="1" x14ac:dyDescent="0.3">
      <c r="A16" s="261" t="s">
        <v>215</v>
      </c>
      <c r="B16" s="233">
        <v>0</v>
      </c>
      <c r="C16" s="262">
        <f>IF(B8&gt;0.28,LOOKUP($B$4,'3 Tabelas Simples Nacional 2018'!$A$2:$A$7,'3 Tabelas Simples Nacional 2018'!T2:T7),LOOKUP($B$4,'3 Tabelas Simples Nacional 2018'!$A$2:$A$7,'3 Tabelas Simples Nacional 2018'!AI2:AI7))</f>
        <v>0.06</v>
      </c>
      <c r="D16" s="263">
        <f>IF(B6/B4&gt;0.28,LOOKUP($B$4,'3 Tabelas Simples Nacional 2018'!$A$2:$A$7,'3 Tabelas Simples Nacional 2018'!L2:L7),LOOKUP($B$4,'3 Tabelas Simples Nacional 2018'!$A$2:$A$7,'3 Tabelas Simples Nacional 2018'!AJ2:AJ7))</f>
        <v>0</v>
      </c>
      <c r="E16" s="264">
        <f>IF(B6/B4&gt;0.28,'2 Planejamento'!O68,'2 Planejamento'!O78)</f>
        <v>0.06</v>
      </c>
      <c r="F16" s="265">
        <f>IF(B6/B4&gt;0.28,'2 Planejamento'!N68,'2 Planejamento'!N78)</f>
        <v>0</v>
      </c>
    </row>
    <row r="17" spans="1:6" x14ac:dyDescent="0.25">
      <c r="F17" s="266"/>
    </row>
    <row r="19" spans="1:6" x14ac:dyDescent="0.25">
      <c r="A19" s="267"/>
    </row>
    <row r="20" spans="1:6" x14ac:dyDescent="0.25">
      <c r="A20" s="267"/>
    </row>
    <row r="23" spans="1:6" x14ac:dyDescent="0.25">
      <c r="C23" s="267"/>
    </row>
    <row r="24" spans="1:6" x14ac:dyDescent="0.25">
      <c r="C24" s="267"/>
    </row>
  </sheetData>
  <sheetProtection algorithmName="SHA-512" hashValue="ikwGvBR8cpmrxJir1lzT2EpYmEw1aUkzZPl3ng3g7Jg3F/cclyBCwqLJEoDJQoXUG0qHfMnvRWVKxwIhV3dC5g==" saltValue="pYVf5it2vrGjHwDMYEqWAg==" spinCount="100000" sheet="1" objects="1" scenarios="1" selectLockedCells="1"/>
  <mergeCells count="2">
    <mergeCell ref="A2:F2"/>
    <mergeCell ref="A1:F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zoomScaleNormal="100" workbookViewId="0">
      <selection activeCell="E12" sqref="E12"/>
    </sheetView>
  </sheetViews>
  <sheetFormatPr defaultColWidth="8.875" defaultRowHeight="15.75" x14ac:dyDescent="0.25"/>
  <cols>
    <col min="1" max="1" width="33.875" customWidth="1"/>
    <col min="2" max="4" width="17.375" customWidth="1"/>
    <col min="5" max="5" width="17.375" style="40" customWidth="1"/>
    <col min="6" max="8" width="17.375" customWidth="1"/>
    <col min="9" max="9" width="17.375" style="40" customWidth="1"/>
    <col min="10" max="17" width="8.875" style="122"/>
  </cols>
  <sheetData>
    <row r="1" spans="1:17" ht="31.5" x14ac:dyDescent="0.5">
      <c r="A1" s="287" t="s">
        <v>119</v>
      </c>
      <c r="B1" s="287"/>
      <c r="C1" s="287"/>
      <c r="D1" s="287"/>
      <c r="E1" s="287"/>
      <c r="F1" s="287"/>
      <c r="G1" s="287"/>
      <c r="H1" s="287"/>
      <c r="I1" s="42"/>
    </row>
    <row r="2" spans="1:17" x14ac:dyDescent="0.25">
      <c r="A2" s="66" t="s">
        <v>152</v>
      </c>
      <c r="B2" s="4"/>
      <c r="C2" s="4"/>
      <c r="D2" s="4"/>
      <c r="E2" s="4"/>
      <c r="F2" s="4"/>
      <c r="G2" s="4"/>
      <c r="H2" s="3"/>
      <c r="I2" s="51" t="s">
        <v>151</v>
      </c>
    </row>
    <row r="3" spans="1:17" s="40" customFormat="1" x14ac:dyDescent="0.25">
      <c r="A3" s="4"/>
      <c r="B3" s="4"/>
      <c r="C3" s="4"/>
      <c r="D3" s="4"/>
      <c r="E3" s="4"/>
      <c r="F3" s="4"/>
      <c r="G3" s="4"/>
      <c r="H3" s="3"/>
      <c r="I3" s="3"/>
      <c r="J3" s="122"/>
      <c r="K3" s="122"/>
      <c r="L3" s="122"/>
      <c r="M3" s="122"/>
      <c r="N3" s="122"/>
      <c r="O3" s="122"/>
      <c r="P3" s="122"/>
      <c r="Q3" s="122"/>
    </row>
    <row r="4" spans="1:17" ht="92.45" customHeight="1" x14ac:dyDescent="0.25">
      <c r="A4" s="296" t="s">
        <v>129</v>
      </c>
      <c r="B4" s="297"/>
      <c r="C4" s="297"/>
      <c r="D4" s="297"/>
      <c r="E4" s="297"/>
      <c r="F4" s="297"/>
      <c r="G4" s="297"/>
      <c r="H4" s="297"/>
      <c r="I4" s="297"/>
    </row>
    <row r="5" spans="1:17" x14ac:dyDescent="0.25">
      <c r="A5" s="122"/>
      <c r="B5" s="122"/>
      <c r="C5" s="122"/>
      <c r="D5" s="122"/>
      <c r="E5" s="122"/>
      <c r="F5" s="122"/>
      <c r="G5" s="122"/>
      <c r="H5" s="122"/>
      <c r="I5" s="122"/>
    </row>
    <row r="6" spans="1:17" s="40" customFormat="1" x14ac:dyDescent="0.25">
      <c r="A6" s="94" t="s">
        <v>160</v>
      </c>
      <c r="B6" s="295">
        <f>CÁLCULO!B4</f>
        <v>180000</v>
      </c>
      <c r="C6" s="295"/>
      <c r="D6" s="295"/>
      <c r="E6" s="295"/>
      <c r="F6" s="295"/>
      <c r="G6" s="295"/>
      <c r="H6" s="103"/>
      <c r="I6" s="103"/>
      <c r="J6" s="122"/>
      <c r="K6" s="122"/>
      <c r="L6" s="122"/>
      <c r="M6" s="122"/>
      <c r="N6" s="122"/>
      <c r="O6" s="122"/>
      <c r="P6" s="122"/>
      <c r="Q6" s="122"/>
    </row>
    <row r="7" spans="1:17" x14ac:dyDescent="0.25">
      <c r="A7" s="56" t="s">
        <v>162</v>
      </c>
      <c r="B7" s="288">
        <f>IF(B6=0,SUM(B8:G8),0)</f>
        <v>0</v>
      </c>
      <c r="C7" s="289"/>
      <c r="D7" s="289"/>
      <c r="E7" s="289"/>
      <c r="F7" s="289"/>
      <c r="G7" s="290"/>
      <c r="H7" s="57"/>
      <c r="I7" s="57"/>
    </row>
    <row r="8" spans="1:17" x14ac:dyDescent="0.25">
      <c r="A8" s="60" t="s">
        <v>161</v>
      </c>
      <c r="B8" s="61">
        <f t="shared" ref="B8:G8" si="0">(B12+B13)*12</f>
        <v>0</v>
      </c>
      <c r="C8" s="61">
        <f t="shared" si="0"/>
        <v>0</v>
      </c>
      <c r="D8" s="61">
        <f t="shared" si="0"/>
        <v>120000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2"/>
      <c r="I8" s="62"/>
    </row>
    <row r="9" spans="1:17" x14ac:dyDescent="0.25">
      <c r="A9" s="124"/>
      <c r="B9" s="124"/>
      <c r="C9" s="124"/>
      <c r="D9" s="124"/>
      <c r="E9" s="124"/>
      <c r="F9" s="124"/>
      <c r="G9" s="124"/>
      <c r="H9" s="124"/>
      <c r="I9" s="124"/>
    </row>
    <row r="10" spans="1:17" x14ac:dyDescent="0.25">
      <c r="A10" s="4"/>
      <c r="B10" s="4" t="s">
        <v>14</v>
      </c>
      <c r="C10" s="4" t="s">
        <v>15</v>
      </c>
      <c r="D10" s="4" t="s">
        <v>7</v>
      </c>
      <c r="E10" s="4" t="s">
        <v>121</v>
      </c>
      <c r="F10" s="4" t="s">
        <v>16</v>
      </c>
      <c r="G10" s="4" t="s">
        <v>87</v>
      </c>
      <c r="H10" s="40"/>
    </row>
    <row r="11" spans="1:17" x14ac:dyDescent="0.25">
      <c r="A11" s="59" t="s">
        <v>89</v>
      </c>
      <c r="B11" s="291">
        <f>SUM(B12:G13)</f>
        <v>10000</v>
      </c>
      <c r="C11" s="292"/>
      <c r="D11" s="292"/>
      <c r="E11" s="292"/>
      <c r="F11" s="292"/>
      <c r="G11" s="293"/>
      <c r="H11" s="4" t="s">
        <v>131</v>
      </c>
      <c r="I11" s="4" t="s">
        <v>205</v>
      </c>
    </row>
    <row r="12" spans="1:17" x14ac:dyDescent="0.25">
      <c r="A12" s="75" t="s">
        <v>130</v>
      </c>
      <c r="B12" s="138">
        <f>CÁLCULO!B11</f>
        <v>0</v>
      </c>
      <c r="C12" s="139">
        <f>CÁLCULO!B12</f>
        <v>0</v>
      </c>
      <c r="D12" s="139">
        <f>CÁLCULO!B13</f>
        <v>10000</v>
      </c>
      <c r="E12" s="139">
        <f>CÁLCULO!B14</f>
        <v>0</v>
      </c>
      <c r="F12" s="139">
        <f>CÁLCULO!B15</f>
        <v>0</v>
      </c>
      <c r="G12" s="139">
        <f>CÁLCULO!B16</f>
        <v>0</v>
      </c>
      <c r="H12" s="140">
        <f>CÁLCULO!B6/12</f>
        <v>4201.666666666667</v>
      </c>
      <c r="I12" s="140"/>
    </row>
    <row r="13" spans="1:17" x14ac:dyDescent="0.25">
      <c r="A13" s="63" t="s">
        <v>127</v>
      </c>
      <c r="B13" s="76">
        <f t="shared" ref="B13:H13" si="1">IF(B12=0,IF(SUM(B14:B25)=0,0,AVERAGE(B14:B25)),"0")</f>
        <v>0</v>
      </c>
      <c r="C13" s="76">
        <f t="shared" si="1"/>
        <v>0</v>
      </c>
      <c r="D13" s="76" t="str">
        <f t="shared" si="1"/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  <c r="H13" s="76" t="str">
        <f t="shared" si="1"/>
        <v>0</v>
      </c>
      <c r="I13" s="76">
        <f>IF(I12=0,IF(SUM(I14:I25)=0,0,AVERAGE(I14:I25)),"0")</f>
        <v>0</v>
      </c>
    </row>
    <row r="14" spans="1:17" x14ac:dyDescent="0.25">
      <c r="A14" s="5">
        <v>42736</v>
      </c>
      <c r="B14" s="138"/>
      <c r="C14" s="139"/>
      <c r="D14" s="139"/>
      <c r="E14" s="139"/>
      <c r="F14" s="139"/>
      <c r="G14" s="139"/>
      <c r="H14" s="141"/>
      <c r="I14" s="141"/>
    </row>
    <row r="15" spans="1:17" x14ac:dyDescent="0.25">
      <c r="A15" s="5">
        <v>42767</v>
      </c>
      <c r="B15" s="138"/>
      <c r="C15" s="139"/>
      <c r="D15" s="139"/>
      <c r="E15" s="139"/>
      <c r="F15" s="139"/>
      <c r="G15" s="139"/>
      <c r="H15" s="140"/>
      <c r="I15" s="140"/>
    </row>
    <row r="16" spans="1:17" x14ac:dyDescent="0.25">
      <c r="A16" s="5">
        <v>42795</v>
      </c>
      <c r="B16" s="138"/>
      <c r="C16" s="139"/>
      <c r="D16" s="139"/>
      <c r="E16" s="139"/>
      <c r="F16" s="139"/>
      <c r="G16" s="139"/>
      <c r="H16" s="140"/>
      <c r="I16" s="140"/>
    </row>
    <row r="17" spans="1:17" x14ac:dyDescent="0.25">
      <c r="A17" s="5">
        <v>42826</v>
      </c>
      <c r="B17" s="138"/>
      <c r="C17" s="139"/>
      <c r="D17" s="139"/>
      <c r="E17" s="139"/>
      <c r="F17" s="139"/>
      <c r="G17" s="139"/>
      <c r="H17" s="140"/>
      <c r="I17" s="140"/>
    </row>
    <row r="18" spans="1:17" x14ac:dyDescent="0.25">
      <c r="A18" s="5">
        <v>42856</v>
      </c>
      <c r="B18" s="138"/>
      <c r="C18" s="139"/>
      <c r="D18" s="139"/>
      <c r="E18" s="139"/>
      <c r="F18" s="139"/>
      <c r="G18" s="139"/>
      <c r="H18" s="140"/>
      <c r="I18" s="140"/>
    </row>
    <row r="19" spans="1:17" x14ac:dyDescent="0.25">
      <c r="A19" s="5">
        <v>42887</v>
      </c>
      <c r="B19" s="138"/>
      <c r="C19" s="139"/>
      <c r="D19" s="139"/>
      <c r="E19" s="139"/>
      <c r="F19" s="139"/>
      <c r="G19" s="139"/>
      <c r="H19" s="140"/>
      <c r="I19" s="140"/>
    </row>
    <row r="20" spans="1:17" x14ac:dyDescent="0.25">
      <c r="A20" s="5">
        <v>42917</v>
      </c>
      <c r="B20" s="138"/>
      <c r="C20" s="139"/>
      <c r="D20" s="139"/>
      <c r="E20" s="139"/>
      <c r="F20" s="139"/>
      <c r="G20" s="139"/>
      <c r="H20" s="140"/>
      <c r="I20" s="140"/>
    </row>
    <row r="21" spans="1:17" x14ac:dyDescent="0.25">
      <c r="A21" s="5">
        <v>42948</v>
      </c>
      <c r="B21" s="138"/>
      <c r="C21" s="139"/>
      <c r="D21" s="139"/>
      <c r="E21" s="139"/>
      <c r="F21" s="139"/>
      <c r="G21" s="139"/>
      <c r="H21" s="140"/>
      <c r="I21" s="140"/>
    </row>
    <row r="22" spans="1:17" x14ac:dyDescent="0.25">
      <c r="A22" s="5">
        <v>42979</v>
      </c>
      <c r="B22" s="138"/>
      <c r="C22" s="139"/>
      <c r="D22" s="139"/>
      <c r="E22" s="139"/>
      <c r="F22" s="139"/>
      <c r="G22" s="139"/>
      <c r="H22" s="140"/>
      <c r="I22" s="140"/>
    </row>
    <row r="23" spans="1:17" x14ac:dyDescent="0.25">
      <c r="A23" s="5">
        <v>43009</v>
      </c>
      <c r="B23" s="138"/>
      <c r="C23" s="139"/>
      <c r="D23" s="139"/>
      <c r="E23" s="139"/>
      <c r="F23" s="139"/>
      <c r="G23" s="139"/>
      <c r="H23" s="140"/>
      <c r="I23" s="140"/>
    </row>
    <row r="24" spans="1:17" x14ac:dyDescent="0.25">
      <c r="A24" s="5">
        <v>43040</v>
      </c>
      <c r="B24" s="138"/>
      <c r="C24" s="139"/>
      <c r="D24" s="139"/>
      <c r="E24" s="139"/>
      <c r="F24" s="139"/>
      <c r="G24" s="139"/>
      <c r="H24" s="140"/>
      <c r="I24" s="140"/>
    </row>
    <row r="25" spans="1:17" x14ac:dyDescent="0.25">
      <c r="A25" s="5">
        <v>43070</v>
      </c>
      <c r="B25" s="142"/>
      <c r="C25" s="143"/>
      <c r="D25" s="143"/>
      <c r="E25" s="143"/>
      <c r="F25" s="143"/>
      <c r="G25" s="143"/>
      <c r="H25" s="144"/>
      <c r="I25" s="144"/>
    </row>
    <row r="26" spans="1:17" s="40" customFormat="1" x14ac:dyDescent="0.25">
      <c r="A26" s="73"/>
      <c r="B26" s="305" t="s">
        <v>128</v>
      </c>
      <c r="C26" s="305"/>
      <c r="D26" s="305"/>
      <c r="E26" s="305"/>
      <c r="F26" s="305"/>
      <c r="G26" s="305"/>
      <c r="H26" s="305"/>
      <c r="I26" s="74"/>
      <c r="J26" s="122"/>
      <c r="K26" s="122"/>
      <c r="L26" s="122"/>
      <c r="M26" s="122"/>
      <c r="N26" s="122"/>
      <c r="O26" s="122"/>
      <c r="P26" s="122"/>
      <c r="Q26" s="122"/>
    </row>
    <row r="27" spans="1:17" s="40" customFormat="1" x14ac:dyDescent="0.25">
      <c r="A27" s="73"/>
      <c r="B27" s="74" t="s">
        <v>143</v>
      </c>
      <c r="C27" s="74"/>
      <c r="D27" s="74"/>
      <c r="E27" s="74"/>
      <c r="F27" s="74"/>
      <c r="G27" s="74"/>
      <c r="H27" s="74"/>
      <c r="I27" s="74"/>
      <c r="J27" s="122"/>
      <c r="K27" s="122"/>
      <c r="L27" s="122"/>
      <c r="M27" s="122"/>
      <c r="N27" s="122"/>
      <c r="O27" s="122"/>
      <c r="P27" s="122"/>
      <c r="Q27" s="122"/>
    </row>
    <row r="28" spans="1:17" s="40" customFormat="1" x14ac:dyDescent="0.25">
      <c r="A28" s="145"/>
      <c r="B28" s="146" t="s">
        <v>181</v>
      </c>
      <c r="C28" s="146"/>
      <c r="D28" s="146"/>
      <c r="E28" s="146"/>
      <c r="F28" s="146"/>
      <c r="G28" s="146"/>
      <c r="H28" s="146"/>
      <c r="I28" s="146"/>
      <c r="J28" s="122"/>
      <c r="K28" s="122"/>
      <c r="L28" s="122"/>
      <c r="M28" s="122"/>
      <c r="N28" s="122"/>
      <c r="O28" s="122"/>
      <c r="P28" s="122"/>
      <c r="Q28" s="122"/>
    </row>
    <row r="29" spans="1:17" x14ac:dyDescent="0.25">
      <c r="A29" s="122"/>
      <c r="B29" s="122"/>
      <c r="C29" s="122"/>
      <c r="D29" s="122"/>
      <c r="E29" s="122"/>
      <c r="F29" s="122"/>
      <c r="G29" s="122"/>
      <c r="H29" s="122"/>
      <c r="I29" s="122"/>
    </row>
    <row r="30" spans="1:17" s="40" customFormat="1" x14ac:dyDescent="0.25">
      <c r="A30" s="294" t="s">
        <v>206</v>
      </c>
      <c r="B30" s="294"/>
      <c r="C30" s="294"/>
      <c r="D30" s="294"/>
      <c r="E30" s="294"/>
      <c r="F30" s="294"/>
      <c r="G30" s="294"/>
      <c r="H30" s="294"/>
      <c r="I30" s="294"/>
      <c r="J30" s="122"/>
      <c r="K30" s="122"/>
      <c r="L30" s="122"/>
      <c r="M30" s="122"/>
      <c r="N30" s="122"/>
      <c r="O30" s="122"/>
      <c r="P30" s="122"/>
      <c r="Q30" s="122"/>
    </row>
    <row r="31" spans="1:17" s="40" customFormat="1" x14ac:dyDescent="0.25">
      <c r="A31" s="298" t="s">
        <v>182</v>
      </c>
      <c r="B31" s="298"/>
      <c r="C31" s="299"/>
      <c r="D31" s="174" t="s">
        <v>175</v>
      </c>
      <c r="E31" s="174" t="s">
        <v>187</v>
      </c>
      <c r="F31" s="174" t="s">
        <v>185</v>
      </c>
      <c r="G31" s="174" t="s">
        <v>183</v>
      </c>
      <c r="H31" s="174" t="s">
        <v>184</v>
      </c>
      <c r="I31" s="174" t="s">
        <v>194</v>
      </c>
      <c r="J31" s="122"/>
      <c r="K31" s="122"/>
      <c r="L31" s="122"/>
      <c r="M31" s="122"/>
      <c r="N31" s="122"/>
      <c r="O31" s="122"/>
      <c r="P31" s="122"/>
      <c r="Q31" s="122"/>
    </row>
    <row r="32" spans="1:17" s="40" customFormat="1" x14ac:dyDescent="0.25">
      <c r="A32" s="300" t="s">
        <v>186</v>
      </c>
      <c r="B32" s="301"/>
      <c r="C32" s="302"/>
      <c r="D32" s="176">
        <v>1500</v>
      </c>
      <c r="E32" s="175" t="s">
        <v>188</v>
      </c>
      <c r="F32" s="175">
        <v>0</v>
      </c>
      <c r="G32" s="183">
        <f>MAX(0,(((D32-F32*'4 Tabelas Pro-Labore'!$D$9)-H32)*(LOOKUP(D32,'4 Tabelas Pro-Labore'!$A$4:$A$8,'4 Tabelas Pro-Labore'!$C$4:$C$8))-(LOOKUP('1 Faturamentos'!$D$32,'4 Tabelas Pro-Labore'!A$4:$A$8,'4 Tabelas Pro-Labore'!$D$4:$D$8))))</f>
        <v>0</v>
      </c>
      <c r="H32" s="183">
        <f>IF(E32="sim",0,IF(D32&gt;'4 Tabelas Pro-Labore'!$B$13,'4 Tabelas Pro-Labore'!$B$13*'4 Tabelas Pro-Labore'!$C$13,D32*'4 Tabelas Pro-Labore'!$C$13))</f>
        <v>165</v>
      </c>
      <c r="I32" s="184">
        <f>D32-G32-H32</f>
        <v>1335</v>
      </c>
      <c r="J32" s="122"/>
      <c r="K32" s="122"/>
      <c r="L32" s="122"/>
      <c r="M32" s="122"/>
      <c r="N32" s="122"/>
      <c r="O32" s="122"/>
      <c r="P32" s="122"/>
      <c r="Q32" s="122"/>
    </row>
    <row r="33" spans="1:17" s="40" customFormat="1" x14ac:dyDescent="0.25">
      <c r="A33" s="303"/>
      <c r="B33" s="303"/>
      <c r="C33" s="303"/>
      <c r="D33" s="176"/>
      <c r="E33" s="175" t="s">
        <v>188</v>
      </c>
      <c r="F33" s="175">
        <v>0</v>
      </c>
      <c r="G33" s="183">
        <f>MAX(0,(((D33-F33*'4 Tabelas Pro-Labore'!$D$9)-H33)*(LOOKUP(D33,'4 Tabelas Pro-Labore'!$A$4:$A$8,'4 Tabelas Pro-Labore'!$C$4:$C$8))-(LOOKUP('1 Faturamentos'!$D$32,'4 Tabelas Pro-Labore'!A$4:$A$8,'4 Tabelas Pro-Labore'!$D$4:$D$8))))</f>
        <v>0</v>
      </c>
      <c r="H33" s="183">
        <f>IF(E33="sim",0,IF(D33&gt;'4 Tabelas Pro-Labore'!$B$13,'4 Tabelas Pro-Labore'!$B$13*'4 Tabelas Pro-Labore'!$C$13,D33*'4 Tabelas Pro-Labore'!$C$13))</f>
        <v>0</v>
      </c>
      <c r="I33" s="184">
        <f t="shared" ref="I33:I41" si="2">D33-G33-H33</f>
        <v>0</v>
      </c>
      <c r="J33" s="122"/>
      <c r="K33" s="122"/>
      <c r="L33" s="122"/>
      <c r="M33" s="122"/>
      <c r="N33" s="122"/>
      <c r="O33" s="122"/>
      <c r="P33" s="122"/>
      <c r="Q33" s="122"/>
    </row>
    <row r="34" spans="1:17" s="40" customFormat="1" x14ac:dyDescent="0.25">
      <c r="A34" s="303"/>
      <c r="B34" s="303"/>
      <c r="C34" s="303"/>
      <c r="D34" s="176"/>
      <c r="E34" s="175" t="s">
        <v>188</v>
      </c>
      <c r="F34" s="175">
        <v>0</v>
      </c>
      <c r="G34" s="183">
        <f>MAX(0,(((D34-F34*'4 Tabelas Pro-Labore'!$D$9)-H34)*(LOOKUP(D34,'4 Tabelas Pro-Labore'!$A$4:$A$8,'4 Tabelas Pro-Labore'!$C$4:$C$8))-(LOOKUP('1 Faturamentos'!$D$32,'4 Tabelas Pro-Labore'!A$4:$A$8,'4 Tabelas Pro-Labore'!$D$4:$D$8))))</f>
        <v>0</v>
      </c>
      <c r="H34" s="183">
        <f>IF(E34="sim",0,IF(D34&gt;'4 Tabelas Pro-Labore'!$B$13,'4 Tabelas Pro-Labore'!$B$13*'4 Tabelas Pro-Labore'!$C$13,D34*'4 Tabelas Pro-Labore'!$C$13))</f>
        <v>0</v>
      </c>
      <c r="I34" s="184">
        <f t="shared" si="2"/>
        <v>0</v>
      </c>
      <c r="J34" s="122"/>
      <c r="K34" s="122"/>
      <c r="L34" s="122"/>
      <c r="M34" s="122"/>
      <c r="N34" s="122"/>
      <c r="O34" s="122"/>
      <c r="P34" s="122"/>
      <c r="Q34" s="122"/>
    </row>
    <row r="35" spans="1:17" s="40" customFormat="1" x14ac:dyDescent="0.25">
      <c r="A35" s="303"/>
      <c r="B35" s="303"/>
      <c r="C35" s="303"/>
      <c r="D35" s="176"/>
      <c r="E35" s="175" t="s">
        <v>188</v>
      </c>
      <c r="F35" s="175">
        <v>0</v>
      </c>
      <c r="G35" s="183">
        <f>MAX(0,(((D35-F35*'4 Tabelas Pro-Labore'!$D$9)-H35)*(LOOKUP(D35,'4 Tabelas Pro-Labore'!$A$4:$A$8,'4 Tabelas Pro-Labore'!$C$4:$C$8))-(LOOKUP('1 Faturamentos'!$D$32,'4 Tabelas Pro-Labore'!A$4:$A$8,'4 Tabelas Pro-Labore'!$D$4:$D$8))))</f>
        <v>0</v>
      </c>
      <c r="H35" s="183">
        <f>IF(E35="sim",0,IF(D35&gt;'4 Tabelas Pro-Labore'!$B$13,'4 Tabelas Pro-Labore'!$B$13*'4 Tabelas Pro-Labore'!$C$13,D35*'4 Tabelas Pro-Labore'!$C$13))</f>
        <v>0</v>
      </c>
      <c r="I35" s="184">
        <f t="shared" si="2"/>
        <v>0</v>
      </c>
      <c r="J35" s="122"/>
      <c r="K35" s="122"/>
      <c r="L35" s="122"/>
      <c r="M35" s="122"/>
      <c r="N35" s="122"/>
      <c r="O35" s="122"/>
      <c r="P35" s="122"/>
      <c r="Q35" s="122"/>
    </row>
    <row r="36" spans="1:17" s="40" customFormat="1" x14ac:dyDescent="0.25">
      <c r="A36" s="303"/>
      <c r="B36" s="303"/>
      <c r="C36" s="303"/>
      <c r="D36" s="176"/>
      <c r="E36" s="175" t="s">
        <v>188</v>
      </c>
      <c r="F36" s="175">
        <v>0</v>
      </c>
      <c r="G36" s="183">
        <f>MAX(0,(((D36-F36*'4 Tabelas Pro-Labore'!$D$9)-H36)*(LOOKUP(D36,'4 Tabelas Pro-Labore'!$A$4:$A$8,'4 Tabelas Pro-Labore'!$C$4:$C$8))-(LOOKUP('1 Faturamentos'!$D$32,'4 Tabelas Pro-Labore'!A$4:$A$8,'4 Tabelas Pro-Labore'!$D$4:$D$8))))</f>
        <v>0</v>
      </c>
      <c r="H36" s="183">
        <f>IF(E36="sim",0,IF(D36&gt;'4 Tabelas Pro-Labore'!$B$13,'4 Tabelas Pro-Labore'!$B$13*'4 Tabelas Pro-Labore'!$C$13,D36*'4 Tabelas Pro-Labore'!$C$13))</f>
        <v>0</v>
      </c>
      <c r="I36" s="184">
        <f t="shared" si="2"/>
        <v>0</v>
      </c>
      <c r="J36" s="122"/>
      <c r="K36" s="122"/>
      <c r="L36" s="122"/>
      <c r="M36" s="122"/>
      <c r="N36" s="122"/>
      <c r="O36" s="122"/>
      <c r="P36" s="122"/>
      <c r="Q36" s="122"/>
    </row>
    <row r="37" spans="1:17" s="40" customFormat="1" x14ac:dyDescent="0.25">
      <c r="A37" s="303"/>
      <c r="B37" s="303"/>
      <c r="C37" s="303"/>
      <c r="D37" s="176"/>
      <c r="E37" s="175" t="s">
        <v>188</v>
      </c>
      <c r="F37" s="175">
        <v>0</v>
      </c>
      <c r="G37" s="183">
        <f>MAX(0,(((D37-F37*'4 Tabelas Pro-Labore'!$D$9)-H37)*(LOOKUP(D37,'4 Tabelas Pro-Labore'!$A$4:$A$8,'4 Tabelas Pro-Labore'!$C$4:$C$8))-(LOOKUP('1 Faturamentos'!$D$32,'4 Tabelas Pro-Labore'!A$4:$A$8,'4 Tabelas Pro-Labore'!$D$4:$D$8))))</f>
        <v>0</v>
      </c>
      <c r="H37" s="183">
        <f>IF(E37="sim",0,IF(D37&gt;'4 Tabelas Pro-Labore'!$B$13,'4 Tabelas Pro-Labore'!$B$13*'4 Tabelas Pro-Labore'!$C$13,D37*'4 Tabelas Pro-Labore'!$C$13))</f>
        <v>0</v>
      </c>
      <c r="I37" s="184">
        <f t="shared" si="2"/>
        <v>0</v>
      </c>
      <c r="J37" s="122"/>
      <c r="K37" s="122"/>
      <c r="L37" s="122"/>
      <c r="M37" s="122"/>
      <c r="N37" s="122"/>
      <c r="O37" s="122"/>
      <c r="P37" s="122"/>
      <c r="Q37" s="122"/>
    </row>
    <row r="38" spans="1:17" s="40" customFormat="1" x14ac:dyDescent="0.25">
      <c r="A38" s="303"/>
      <c r="B38" s="303"/>
      <c r="C38" s="303"/>
      <c r="D38" s="176"/>
      <c r="E38" s="175" t="s">
        <v>188</v>
      </c>
      <c r="F38" s="175">
        <v>0</v>
      </c>
      <c r="G38" s="183">
        <f>MAX(0,(((D38-F38*'4 Tabelas Pro-Labore'!$D$9)-H38)*(LOOKUP(D38,'4 Tabelas Pro-Labore'!$A$4:$A$8,'4 Tabelas Pro-Labore'!$C$4:$C$8))-(LOOKUP('1 Faturamentos'!$D$32,'4 Tabelas Pro-Labore'!A$4:$A$8,'4 Tabelas Pro-Labore'!$D$4:$D$8))))</f>
        <v>0</v>
      </c>
      <c r="H38" s="183">
        <f>IF(E38="sim",0,IF(D38&gt;'4 Tabelas Pro-Labore'!$B$13,'4 Tabelas Pro-Labore'!$B$13*'4 Tabelas Pro-Labore'!$C$13,D38*'4 Tabelas Pro-Labore'!$C$13))</f>
        <v>0</v>
      </c>
      <c r="I38" s="184">
        <f t="shared" si="2"/>
        <v>0</v>
      </c>
      <c r="J38" s="122"/>
      <c r="K38" s="122"/>
      <c r="L38" s="122"/>
      <c r="M38" s="122"/>
      <c r="N38" s="122"/>
      <c r="O38" s="122"/>
      <c r="P38" s="122"/>
      <c r="Q38" s="122"/>
    </row>
    <row r="39" spans="1:17" s="40" customFormat="1" x14ac:dyDescent="0.25">
      <c r="A39" s="303"/>
      <c r="B39" s="303"/>
      <c r="C39" s="303"/>
      <c r="D39" s="176"/>
      <c r="E39" s="175" t="s">
        <v>188</v>
      </c>
      <c r="F39" s="175">
        <v>0</v>
      </c>
      <c r="G39" s="183">
        <f>MAX(0,(((D39-F39*'4 Tabelas Pro-Labore'!$D$9)-H39)*(LOOKUP(D39,'4 Tabelas Pro-Labore'!$A$4:$A$8,'4 Tabelas Pro-Labore'!$C$4:$C$8))-(LOOKUP('1 Faturamentos'!$D$32,'4 Tabelas Pro-Labore'!A$4:$A$8,'4 Tabelas Pro-Labore'!$D$4:$D$8))))</f>
        <v>0</v>
      </c>
      <c r="H39" s="183">
        <f>IF(E39="sim",0,IF(D39&gt;'4 Tabelas Pro-Labore'!$B$13,'4 Tabelas Pro-Labore'!$B$13*'4 Tabelas Pro-Labore'!$C$13,D39*'4 Tabelas Pro-Labore'!$C$13))</f>
        <v>0</v>
      </c>
      <c r="I39" s="184">
        <f t="shared" si="2"/>
        <v>0</v>
      </c>
      <c r="J39" s="122"/>
      <c r="K39" s="122"/>
      <c r="L39" s="122"/>
      <c r="M39" s="122"/>
      <c r="N39" s="122"/>
      <c r="O39" s="122"/>
      <c r="P39" s="122"/>
      <c r="Q39" s="122"/>
    </row>
    <row r="40" spans="1:17" s="40" customFormat="1" x14ac:dyDescent="0.25">
      <c r="A40" s="303"/>
      <c r="B40" s="303"/>
      <c r="C40" s="303"/>
      <c r="D40" s="176"/>
      <c r="E40" s="175" t="s">
        <v>188</v>
      </c>
      <c r="F40" s="175">
        <v>0</v>
      </c>
      <c r="G40" s="183">
        <f>MAX(0,(((D40-F40*'4 Tabelas Pro-Labore'!$D$9)-H40)*(LOOKUP(D40,'4 Tabelas Pro-Labore'!$A$4:$A$8,'4 Tabelas Pro-Labore'!$C$4:$C$8))-(LOOKUP('1 Faturamentos'!$D$32,'4 Tabelas Pro-Labore'!A$4:$A$8,'4 Tabelas Pro-Labore'!$D$4:$D$8))))</f>
        <v>0</v>
      </c>
      <c r="H40" s="183">
        <f>IF(E40="sim",0,IF(D40&gt;'4 Tabelas Pro-Labore'!$B$13,'4 Tabelas Pro-Labore'!$B$13*'4 Tabelas Pro-Labore'!$C$13,D40*'4 Tabelas Pro-Labore'!$C$13))</f>
        <v>0</v>
      </c>
      <c r="I40" s="184">
        <f t="shared" si="2"/>
        <v>0</v>
      </c>
      <c r="J40" s="122"/>
      <c r="K40" s="122"/>
      <c r="L40" s="122"/>
      <c r="M40" s="122"/>
      <c r="N40" s="122"/>
      <c r="O40" s="122"/>
      <c r="P40" s="122"/>
      <c r="Q40" s="122"/>
    </row>
    <row r="41" spans="1:17" s="40" customFormat="1" x14ac:dyDescent="0.25">
      <c r="A41" s="303"/>
      <c r="B41" s="303"/>
      <c r="C41" s="303"/>
      <c r="D41" s="176"/>
      <c r="E41" s="175" t="s">
        <v>188</v>
      </c>
      <c r="F41" s="175">
        <v>0</v>
      </c>
      <c r="G41" s="183">
        <f>MAX(0,(((D41-F41*'4 Tabelas Pro-Labore'!$D$9)-H41)*(LOOKUP(D41,'4 Tabelas Pro-Labore'!$A$4:$A$8,'4 Tabelas Pro-Labore'!$C$4:$C$8))-(LOOKUP('1 Faturamentos'!$D$32,'4 Tabelas Pro-Labore'!A$4:$A$8,'4 Tabelas Pro-Labore'!$D$4:$D$8))))</f>
        <v>0</v>
      </c>
      <c r="H41" s="183">
        <f>IF(E41="sim",0,IF(D41&gt;'4 Tabelas Pro-Labore'!$B$13,'4 Tabelas Pro-Labore'!$B$13*'4 Tabelas Pro-Labore'!$C$13,D41*'4 Tabelas Pro-Labore'!$C$13))</f>
        <v>0</v>
      </c>
      <c r="I41" s="184">
        <f t="shared" si="2"/>
        <v>0</v>
      </c>
      <c r="J41" s="122"/>
      <c r="K41" s="122"/>
      <c r="L41" s="122"/>
      <c r="M41" s="122"/>
      <c r="N41" s="122"/>
      <c r="O41" s="122"/>
      <c r="P41" s="122"/>
      <c r="Q41" s="122"/>
    </row>
    <row r="42" spans="1:17" x14ac:dyDescent="0.25">
      <c r="A42" s="306" t="s">
        <v>195</v>
      </c>
      <c r="B42" s="306"/>
      <c r="C42" s="306"/>
      <c r="D42" s="194">
        <f>SUM(D32:D41)</f>
        <v>1500</v>
      </c>
      <c r="E42" s="192"/>
      <c r="F42" s="195">
        <f>SUM(F32:F41)</f>
        <v>0</v>
      </c>
      <c r="G42" s="192">
        <f>SUM(G32:G41)</f>
        <v>0</v>
      </c>
      <c r="H42" s="192">
        <f>SUM(H32:H41)</f>
        <v>165</v>
      </c>
      <c r="I42" s="193">
        <f>SUM(I32:I41)</f>
        <v>1335</v>
      </c>
      <c r="J42"/>
      <c r="K42"/>
      <c r="L42"/>
      <c r="M42"/>
      <c r="N42"/>
      <c r="O42"/>
      <c r="P42"/>
      <c r="Q42"/>
    </row>
    <row r="43" spans="1:17" s="40" customFormat="1" x14ac:dyDescent="0.25">
      <c r="A43" s="66"/>
      <c r="D43" s="3"/>
      <c r="E43" s="3"/>
      <c r="F43" s="3"/>
      <c r="G43" s="3"/>
      <c r="H43" s="3"/>
      <c r="I43" s="3"/>
      <c r="J43" s="122"/>
      <c r="K43" s="122"/>
      <c r="L43" s="122"/>
      <c r="M43" s="122"/>
      <c r="N43" s="122"/>
      <c r="O43" s="122"/>
      <c r="P43" s="122"/>
      <c r="Q43" s="122"/>
    </row>
    <row r="44" spans="1:17" x14ac:dyDescent="0.25">
      <c r="A44" s="294" t="s">
        <v>118</v>
      </c>
      <c r="B44" s="294"/>
      <c r="C44" s="294"/>
      <c r="D44" s="294"/>
      <c r="E44" s="294"/>
      <c r="F44" s="294"/>
      <c r="G44" s="65" t="s">
        <v>9</v>
      </c>
      <c r="H44" s="65" t="s">
        <v>10</v>
      </c>
      <c r="I44" s="65" t="s">
        <v>156</v>
      </c>
    </row>
    <row r="45" spans="1:17" x14ac:dyDescent="0.25">
      <c r="A45" s="304" t="s">
        <v>8</v>
      </c>
      <c r="B45" s="304"/>
      <c r="C45" s="304"/>
      <c r="D45" s="304"/>
      <c r="E45" s="304"/>
      <c r="F45" s="304"/>
      <c r="G45" s="171">
        <v>7119799</v>
      </c>
      <c r="H45" s="172" t="s">
        <v>88</v>
      </c>
      <c r="I45" s="173">
        <v>10000</v>
      </c>
    </row>
    <row r="46" spans="1:17" x14ac:dyDescent="0.25">
      <c r="A46" s="304"/>
      <c r="B46" s="304"/>
      <c r="C46" s="304"/>
      <c r="D46" s="304"/>
      <c r="E46" s="304"/>
      <c r="F46" s="304"/>
      <c r="G46" s="171"/>
      <c r="H46" s="172"/>
      <c r="I46" s="173"/>
    </row>
    <row r="47" spans="1:17" x14ac:dyDescent="0.25">
      <c r="A47" s="304"/>
      <c r="B47" s="304"/>
      <c r="C47" s="304"/>
      <c r="D47" s="304"/>
      <c r="E47" s="304"/>
      <c r="F47" s="304"/>
      <c r="G47" s="171"/>
      <c r="H47" s="172"/>
      <c r="I47" s="173"/>
    </row>
    <row r="48" spans="1:17" x14ac:dyDescent="0.25">
      <c r="A48" s="304"/>
      <c r="B48" s="304"/>
      <c r="C48" s="304"/>
      <c r="D48" s="304"/>
      <c r="E48" s="304"/>
      <c r="F48" s="304"/>
      <c r="G48" s="171"/>
      <c r="H48" s="172"/>
      <c r="I48" s="173"/>
    </row>
    <row r="49" spans="1:14" x14ac:dyDescent="0.25">
      <c r="A49" s="304"/>
      <c r="B49" s="304"/>
      <c r="C49" s="304"/>
      <c r="D49" s="304"/>
      <c r="E49" s="304"/>
      <c r="F49" s="304"/>
      <c r="G49" s="171"/>
      <c r="H49" s="172"/>
      <c r="I49" s="173"/>
    </row>
    <row r="50" spans="1:14" x14ac:dyDescent="0.25">
      <c r="A50" s="304"/>
      <c r="B50" s="304"/>
      <c r="C50" s="304"/>
      <c r="D50" s="304"/>
      <c r="E50" s="304"/>
      <c r="F50" s="304"/>
      <c r="G50" s="171"/>
      <c r="H50" s="172"/>
      <c r="I50" s="173"/>
    </row>
    <row r="51" spans="1:14" x14ac:dyDescent="0.25">
      <c r="A51" s="304"/>
      <c r="B51" s="304"/>
      <c r="C51" s="304"/>
      <c r="D51" s="304"/>
      <c r="E51" s="304"/>
      <c r="F51" s="304"/>
      <c r="G51" s="171"/>
      <c r="H51" s="172"/>
      <c r="I51" s="173"/>
    </row>
    <row r="52" spans="1:14" x14ac:dyDescent="0.25">
      <c r="A52" s="304"/>
      <c r="B52" s="304"/>
      <c r="C52" s="304"/>
      <c r="D52" s="304"/>
      <c r="E52" s="304"/>
      <c r="F52" s="304"/>
      <c r="G52" s="171"/>
      <c r="H52" s="172"/>
      <c r="I52" s="173"/>
    </row>
    <row r="53" spans="1:14" x14ac:dyDescent="0.25">
      <c r="A53" s="304"/>
      <c r="B53" s="304"/>
      <c r="C53" s="304"/>
      <c r="D53" s="304"/>
      <c r="E53" s="304"/>
      <c r="F53" s="304"/>
      <c r="G53" s="171"/>
      <c r="H53" s="172"/>
      <c r="I53" s="173"/>
    </row>
    <row r="54" spans="1:14" x14ac:dyDescent="0.25">
      <c r="A54" s="304"/>
      <c r="B54" s="304"/>
      <c r="C54" s="304"/>
      <c r="D54" s="304"/>
      <c r="E54" s="304"/>
      <c r="F54" s="304"/>
      <c r="G54" s="171"/>
      <c r="H54" s="172"/>
      <c r="I54" s="173"/>
    </row>
    <row r="55" spans="1:14" x14ac:dyDescent="0.25">
      <c r="A55" s="304"/>
      <c r="B55" s="304"/>
      <c r="C55" s="304"/>
      <c r="D55" s="304"/>
      <c r="E55" s="304"/>
      <c r="F55" s="304"/>
      <c r="G55" s="171"/>
      <c r="H55" s="172"/>
      <c r="I55" s="173"/>
    </row>
    <row r="56" spans="1:14" x14ac:dyDescent="0.25">
      <c r="A56" s="66" t="s">
        <v>120</v>
      </c>
      <c r="B56" s="40"/>
      <c r="C56" s="40"/>
      <c r="D56" s="3"/>
      <c r="E56" s="3"/>
      <c r="F56" s="3"/>
      <c r="G56" s="3"/>
      <c r="H56" s="3"/>
      <c r="I56" s="3"/>
    </row>
    <row r="58" spans="1:14" ht="16.7" customHeight="1" x14ac:dyDescent="0.3">
      <c r="B58" s="67" t="s">
        <v>13</v>
      </c>
      <c r="C58" s="68" t="s">
        <v>122</v>
      </c>
      <c r="D58" s="68"/>
      <c r="E58" s="68"/>
      <c r="F58" s="68"/>
      <c r="G58" s="68"/>
      <c r="H58" s="68"/>
      <c r="I58" s="68"/>
      <c r="J58" s="147"/>
      <c r="K58" s="135"/>
      <c r="L58" s="147"/>
      <c r="M58" s="147"/>
      <c r="N58" s="148"/>
    </row>
    <row r="59" spans="1:14" ht="16.7" customHeight="1" x14ac:dyDescent="0.3">
      <c r="B59" s="67" t="s">
        <v>25</v>
      </c>
      <c r="C59" s="68" t="s">
        <v>123</v>
      </c>
      <c r="D59" s="68"/>
      <c r="E59" s="68"/>
      <c r="F59" s="68"/>
      <c r="G59" s="68"/>
      <c r="H59" s="68"/>
      <c r="I59" s="68"/>
      <c r="J59" s="147"/>
      <c r="K59" s="135"/>
      <c r="L59" s="147"/>
      <c r="M59" s="147"/>
      <c r="N59" s="148"/>
    </row>
    <row r="60" spans="1:14" ht="16.7" customHeight="1" x14ac:dyDescent="0.3">
      <c r="B60" s="67" t="s">
        <v>34</v>
      </c>
      <c r="C60" s="68" t="s">
        <v>124</v>
      </c>
      <c r="D60" s="68"/>
      <c r="E60" s="68"/>
      <c r="F60" s="68"/>
      <c r="G60" s="68"/>
      <c r="H60" s="68"/>
      <c r="I60" s="68"/>
      <c r="J60" s="149"/>
      <c r="K60" s="149"/>
      <c r="L60" s="150"/>
      <c r="M60" s="149"/>
      <c r="N60" s="149"/>
    </row>
    <row r="61" spans="1:14" ht="16.7" customHeight="1" x14ac:dyDescent="0.3">
      <c r="B61" s="67" t="s">
        <v>42</v>
      </c>
      <c r="C61" s="68" t="s">
        <v>125</v>
      </c>
      <c r="D61" s="68"/>
      <c r="E61" s="68"/>
      <c r="F61" s="68"/>
      <c r="G61" s="68"/>
      <c r="H61" s="68"/>
      <c r="I61" s="68"/>
      <c r="J61" s="151"/>
      <c r="K61" s="152"/>
      <c r="L61" s="150"/>
      <c r="M61" s="150"/>
      <c r="N61" s="151"/>
    </row>
    <row r="62" spans="1:14" ht="16.7" customHeight="1" x14ac:dyDescent="0.3">
      <c r="B62" s="67" t="s">
        <v>85</v>
      </c>
      <c r="C62" s="68" t="s">
        <v>126</v>
      </c>
      <c r="D62" s="68"/>
      <c r="E62" s="68"/>
      <c r="F62" s="68"/>
      <c r="G62" s="68"/>
      <c r="H62" s="68"/>
      <c r="I62" s="68"/>
      <c r="J62" s="153"/>
      <c r="K62" s="154"/>
      <c r="L62" s="150"/>
      <c r="M62" s="155"/>
      <c r="N62" s="156"/>
    </row>
    <row r="63" spans="1:14" ht="16.7" customHeight="1" x14ac:dyDescent="0.3">
      <c r="B63" s="66"/>
      <c r="C63" s="68"/>
      <c r="D63" s="68"/>
      <c r="E63" s="68"/>
      <c r="F63" s="68"/>
      <c r="G63" s="68"/>
      <c r="H63" s="68"/>
      <c r="I63" s="68"/>
      <c r="J63" s="158"/>
      <c r="K63" s="152"/>
      <c r="L63" s="150"/>
      <c r="M63" s="157"/>
      <c r="N63" s="151"/>
    </row>
    <row r="64" spans="1:14" ht="16.7" customHeight="1" x14ac:dyDescent="0.3">
      <c r="B64" s="70" t="s">
        <v>86</v>
      </c>
      <c r="C64" s="68" t="s">
        <v>68</v>
      </c>
      <c r="D64" s="68"/>
      <c r="E64" s="68"/>
      <c r="F64" s="68"/>
      <c r="G64" s="68"/>
      <c r="H64" s="68"/>
      <c r="I64" s="68"/>
      <c r="J64" s="158"/>
      <c r="K64" s="152"/>
      <c r="L64" s="150"/>
      <c r="M64" s="157"/>
      <c r="N64" s="151"/>
    </row>
    <row r="65" spans="2:14" ht="16.7" customHeight="1" x14ac:dyDescent="0.3">
      <c r="B65" s="68"/>
      <c r="C65" s="68" t="s">
        <v>69</v>
      </c>
      <c r="D65" s="68"/>
      <c r="E65" s="68"/>
      <c r="F65" s="68"/>
      <c r="G65" s="68"/>
      <c r="H65" s="68"/>
      <c r="I65" s="68"/>
      <c r="J65" s="158"/>
      <c r="K65" s="152"/>
      <c r="L65" s="150"/>
      <c r="M65" s="157"/>
      <c r="N65" s="151"/>
    </row>
    <row r="66" spans="2:14" ht="16.7" customHeight="1" x14ac:dyDescent="0.3">
      <c r="B66" s="68"/>
      <c r="C66" s="68" t="s">
        <v>70</v>
      </c>
      <c r="D66" s="68"/>
      <c r="E66" s="68"/>
      <c r="F66" s="68"/>
      <c r="G66" s="68"/>
      <c r="H66" s="68"/>
      <c r="I66" s="68"/>
      <c r="J66" s="158"/>
      <c r="K66" s="152"/>
      <c r="L66" s="150"/>
      <c r="M66" s="150"/>
      <c r="N66" s="151"/>
    </row>
    <row r="67" spans="2:14" ht="16.7" customHeight="1" x14ac:dyDescent="0.3">
      <c r="B67" s="68"/>
      <c r="C67" s="68" t="s">
        <v>71</v>
      </c>
      <c r="D67" s="68"/>
      <c r="E67" s="68"/>
      <c r="F67" s="68"/>
      <c r="G67" s="68"/>
      <c r="H67" s="68"/>
      <c r="I67" s="68"/>
      <c r="J67" s="158"/>
      <c r="K67" s="152"/>
      <c r="L67" s="150"/>
      <c r="M67" s="150"/>
      <c r="N67" s="151"/>
    </row>
    <row r="68" spans="2:14" ht="16.7" customHeight="1" x14ac:dyDescent="0.3">
      <c r="B68" s="68"/>
      <c r="C68" s="68" t="s">
        <v>72</v>
      </c>
      <c r="D68" s="68"/>
      <c r="E68" s="68"/>
      <c r="F68" s="68"/>
      <c r="G68" s="68"/>
      <c r="H68" s="68"/>
      <c r="I68" s="68"/>
      <c r="J68" s="157"/>
      <c r="K68" s="157"/>
      <c r="L68" s="150"/>
      <c r="M68" s="158"/>
      <c r="N68" s="151"/>
    </row>
    <row r="69" spans="2:14" ht="16.7" customHeight="1" x14ac:dyDescent="0.3">
      <c r="B69" s="68"/>
      <c r="C69" s="68" t="s">
        <v>73</v>
      </c>
      <c r="D69" s="68"/>
      <c r="E69" s="68"/>
      <c r="F69" s="68"/>
      <c r="G69" s="68"/>
      <c r="H69" s="68"/>
      <c r="I69" s="68"/>
      <c r="J69" s="158"/>
      <c r="K69" s="159"/>
      <c r="L69" s="150"/>
      <c r="M69" s="150"/>
      <c r="N69" s="151"/>
    </row>
    <row r="70" spans="2:14" ht="16.7" customHeight="1" x14ac:dyDescent="0.3">
      <c r="B70" s="68"/>
      <c r="C70" s="68" t="s">
        <v>74</v>
      </c>
      <c r="D70" s="68"/>
      <c r="E70" s="68"/>
      <c r="F70" s="68"/>
      <c r="G70" s="68"/>
      <c r="H70" s="68"/>
      <c r="I70" s="68"/>
      <c r="J70" s="158"/>
      <c r="K70" s="152"/>
      <c r="L70" s="150"/>
      <c r="M70" s="150"/>
      <c r="N70" s="151"/>
    </row>
    <row r="71" spans="2:14" ht="16.7" customHeight="1" x14ac:dyDescent="0.3">
      <c r="B71" s="68"/>
      <c r="C71" s="68" t="s">
        <v>75</v>
      </c>
      <c r="D71" s="68"/>
      <c r="E71" s="68"/>
      <c r="F71" s="68"/>
      <c r="G71" s="68"/>
      <c r="H71" s="68"/>
      <c r="I71" s="68"/>
      <c r="J71" s="153"/>
      <c r="K71" s="154"/>
      <c r="L71" s="150"/>
      <c r="M71" s="150"/>
      <c r="N71" s="151"/>
    </row>
    <row r="72" spans="2:14" ht="16.7" customHeight="1" x14ac:dyDescent="0.3">
      <c r="B72" s="68"/>
      <c r="C72" s="68" t="s">
        <v>76</v>
      </c>
      <c r="D72" s="68"/>
      <c r="E72" s="68"/>
      <c r="F72" s="68"/>
      <c r="G72" s="68"/>
      <c r="H72" s="68"/>
      <c r="I72" s="68"/>
      <c r="J72" s="160"/>
      <c r="K72" s="135"/>
      <c r="L72" s="147"/>
      <c r="M72" s="147"/>
      <c r="N72" s="148"/>
    </row>
    <row r="73" spans="2:14" ht="16.7" customHeight="1" x14ac:dyDescent="0.3">
      <c r="B73" s="68"/>
      <c r="C73" s="68" t="s">
        <v>77</v>
      </c>
      <c r="D73" s="68"/>
      <c r="E73" s="68"/>
      <c r="F73" s="68"/>
      <c r="G73" s="68"/>
      <c r="H73" s="68"/>
      <c r="I73" s="68"/>
      <c r="J73" s="147"/>
      <c r="K73" s="135"/>
      <c r="L73" s="147"/>
      <c r="M73" s="147"/>
      <c r="N73" s="148"/>
    </row>
    <row r="74" spans="2:14" ht="16.7" customHeight="1" x14ac:dyDescent="0.3">
      <c r="B74" s="68"/>
      <c r="C74" s="71" t="s">
        <v>78</v>
      </c>
      <c r="D74" s="71"/>
      <c r="E74" s="71"/>
      <c r="F74" s="71"/>
      <c r="G74" s="71"/>
      <c r="H74" s="71"/>
      <c r="I74" s="71"/>
      <c r="J74" s="161"/>
      <c r="K74" s="162"/>
      <c r="L74" s="161"/>
      <c r="M74" s="161"/>
      <c r="N74" s="161"/>
    </row>
    <row r="75" spans="2:14" ht="16.7" customHeight="1" x14ac:dyDescent="0.3">
      <c r="B75" s="68"/>
      <c r="C75" s="71" t="s">
        <v>79</v>
      </c>
      <c r="D75" s="71"/>
      <c r="E75" s="71"/>
      <c r="F75" s="71"/>
      <c r="G75" s="71"/>
      <c r="H75" s="71"/>
      <c r="I75" s="71"/>
      <c r="J75" s="161"/>
      <c r="K75" s="162"/>
      <c r="L75" s="161"/>
      <c r="M75" s="161"/>
      <c r="N75" s="161"/>
    </row>
    <row r="76" spans="2:14" ht="16.7" customHeight="1" x14ac:dyDescent="0.3">
      <c r="B76" s="68"/>
      <c r="C76" s="71" t="s">
        <v>80</v>
      </c>
      <c r="D76" s="71"/>
      <c r="E76" s="71"/>
      <c r="F76" s="71"/>
      <c r="G76" s="68"/>
      <c r="H76" s="68"/>
      <c r="I76" s="68"/>
      <c r="J76" s="161"/>
      <c r="K76" s="162"/>
      <c r="L76" s="161"/>
      <c r="M76" s="161"/>
      <c r="N76" s="161"/>
    </row>
    <row r="77" spans="2:14" ht="16.7" customHeight="1" x14ac:dyDescent="0.3">
      <c r="B77" s="68"/>
      <c r="C77" s="71" t="s">
        <v>81</v>
      </c>
      <c r="D77" s="71"/>
      <c r="E77" s="71"/>
      <c r="F77" s="71"/>
      <c r="G77" s="71"/>
      <c r="H77" s="68"/>
      <c r="I77" s="68"/>
      <c r="J77" s="161"/>
      <c r="K77" s="162"/>
      <c r="L77" s="161"/>
      <c r="M77" s="161"/>
      <c r="N77" s="161"/>
    </row>
    <row r="78" spans="2:14" ht="16.7" customHeight="1" x14ac:dyDescent="0.3">
      <c r="B78" s="68"/>
      <c r="C78" s="71" t="s">
        <v>82</v>
      </c>
      <c r="D78" s="71"/>
      <c r="E78" s="71"/>
      <c r="F78" s="71"/>
      <c r="G78" s="71"/>
      <c r="H78" s="71"/>
      <c r="I78" s="71"/>
      <c r="J78" s="163"/>
      <c r="K78" s="163"/>
      <c r="L78" s="163"/>
      <c r="M78" s="163"/>
      <c r="N78" s="163"/>
    </row>
    <row r="79" spans="2:14" ht="16.7" customHeight="1" x14ac:dyDescent="0.3">
      <c r="B79" s="68"/>
      <c r="C79" s="71" t="s">
        <v>83</v>
      </c>
      <c r="D79" s="71"/>
      <c r="E79" s="68"/>
      <c r="F79" s="68"/>
      <c r="G79" s="68"/>
      <c r="H79" s="68"/>
      <c r="I79" s="68"/>
      <c r="J79" s="161"/>
      <c r="K79" s="162"/>
      <c r="L79" s="161"/>
      <c r="M79" s="161"/>
      <c r="N79" s="161"/>
    </row>
  </sheetData>
  <mergeCells count="31">
    <mergeCell ref="A54:F54"/>
    <mergeCell ref="A55:F55"/>
    <mergeCell ref="B26:H26"/>
    <mergeCell ref="A46:F46"/>
    <mergeCell ref="A47:F47"/>
    <mergeCell ref="A48:F48"/>
    <mergeCell ref="A49:F49"/>
    <mergeCell ref="A50:F50"/>
    <mergeCell ref="A51:F51"/>
    <mergeCell ref="A52:F52"/>
    <mergeCell ref="A53:F53"/>
    <mergeCell ref="A45:F45"/>
    <mergeCell ref="A41:C41"/>
    <mergeCell ref="A30:I30"/>
    <mergeCell ref="A42:C42"/>
    <mergeCell ref="A1:H1"/>
    <mergeCell ref="B7:G7"/>
    <mergeCell ref="B11:G11"/>
    <mergeCell ref="A44:F44"/>
    <mergeCell ref="B6:G6"/>
    <mergeCell ref="A4:I4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</mergeCells>
  <dataValidations count="1">
    <dataValidation type="list" allowBlank="1" showInputMessage="1" showErrorMessage="1" sqref="E32:E41" xr:uid="{00000000-0002-0000-03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5"/>
  <sheetViews>
    <sheetView showGridLines="0" topLeftCell="H25" zoomScale="85" zoomScaleNormal="85" zoomScalePageLayoutView="85" workbookViewId="0">
      <selection activeCell="P43" sqref="P43:U60"/>
    </sheetView>
  </sheetViews>
  <sheetFormatPr defaultColWidth="11" defaultRowHeight="15.75" x14ac:dyDescent="0.25"/>
  <cols>
    <col min="1" max="1" width="1.5" style="40" customWidth="1"/>
    <col min="2" max="2" width="25.625" style="40" customWidth="1"/>
    <col min="3" max="3" width="1.625" style="40" customWidth="1"/>
    <col min="4" max="4" width="2.375" style="40" customWidth="1"/>
    <col min="5" max="5" width="17.375" style="40" customWidth="1"/>
    <col min="6" max="6" width="17" style="40" customWidth="1"/>
    <col min="7" max="8" width="17" style="3" customWidth="1"/>
    <col min="9" max="9" width="17.375" style="3" customWidth="1"/>
    <col min="10" max="11" width="17" style="3" customWidth="1"/>
    <col min="12" max="12" width="5.5" style="122" customWidth="1"/>
    <col min="13" max="13" width="25.5" style="40" customWidth="1"/>
    <col min="14" max="14" width="19" style="40" customWidth="1"/>
    <col min="15" max="15" width="8.125" style="1" customWidth="1"/>
    <col min="16" max="16" width="7.375" style="40" customWidth="1"/>
    <col min="17" max="17" width="28.125" style="40" customWidth="1"/>
    <col min="18" max="18" width="17" style="3" customWidth="1"/>
    <col min="19" max="19" width="8.625" style="1" customWidth="1"/>
    <col min="20" max="20" width="7.5" style="122" customWidth="1"/>
    <col min="21" max="21" width="11.625" style="122" bestFit="1" customWidth="1"/>
    <col min="22" max="23" width="11" style="122"/>
    <col min="24" max="16384" width="11" style="40"/>
  </cols>
  <sheetData>
    <row r="1" spans="1:19" ht="31.5" x14ac:dyDescent="0.5">
      <c r="A1" s="287" t="s">
        <v>12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M1" s="287" t="s">
        <v>145</v>
      </c>
      <c r="N1" s="287"/>
      <c r="O1" s="287"/>
      <c r="P1" s="287"/>
      <c r="Q1" s="287"/>
      <c r="R1" s="287"/>
      <c r="S1" s="287"/>
    </row>
    <row r="2" spans="1:19" x14ac:dyDescent="0.25">
      <c r="B2" s="4"/>
      <c r="C2" s="4"/>
      <c r="D2" s="4"/>
      <c r="E2" s="4"/>
      <c r="F2" s="4"/>
      <c r="G2" s="4"/>
      <c r="H2" s="4"/>
      <c r="I2" s="4"/>
      <c r="J2" s="4"/>
    </row>
    <row r="3" spans="1:19" ht="44.25" customHeight="1" x14ac:dyDescent="0.25">
      <c r="A3" s="311" t="s">
        <v>133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  <c r="M3" s="313" t="s">
        <v>153</v>
      </c>
      <c r="N3" s="313"/>
      <c r="O3" s="313"/>
      <c r="P3" s="313"/>
      <c r="Q3" s="313"/>
      <c r="R3" s="313"/>
      <c r="S3" s="313"/>
    </row>
    <row r="4" spans="1:19" ht="15.95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0"/>
      <c r="O4" s="40"/>
      <c r="R4" s="40"/>
      <c r="S4" s="40"/>
    </row>
    <row r="5" spans="1:19" x14ac:dyDescent="0.25">
      <c r="A5" s="122"/>
      <c r="B5" s="124"/>
      <c r="C5" s="124"/>
      <c r="D5" s="124"/>
      <c r="E5" s="124"/>
      <c r="F5" s="124"/>
      <c r="G5" s="124"/>
      <c r="H5" s="124"/>
      <c r="I5" s="124"/>
      <c r="J5" s="124"/>
      <c r="K5" s="58" t="s">
        <v>11</v>
      </c>
      <c r="M5" s="325" t="s">
        <v>149</v>
      </c>
      <c r="N5" s="325"/>
      <c r="O5" s="325"/>
      <c r="Q5" s="326" t="s">
        <v>150</v>
      </c>
      <c r="R5" s="326"/>
      <c r="S5" s="326"/>
    </row>
    <row r="6" spans="1:19" x14ac:dyDescent="0.25">
      <c r="A6" s="323" t="s">
        <v>6</v>
      </c>
      <c r="B6" s="323"/>
      <c r="C6" s="323"/>
      <c r="D6" s="324"/>
      <c r="E6" s="327">
        <f>'1 Faturamentos'!B7+'1 Faturamentos'!B6</f>
        <v>180000</v>
      </c>
      <c r="F6" s="328"/>
      <c r="G6" s="328"/>
      <c r="H6" s="328"/>
      <c r="I6" s="328"/>
      <c r="J6" s="329"/>
      <c r="K6" s="57">
        <f>K7/E6</f>
        <v>0.28011111111111109</v>
      </c>
      <c r="M6" s="2" t="s">
        <v>93</v>
      </c>
      <c r="N6" s="81">
        <f>N22+N31+N42+N52+N60+N70+N79</f>
        <v>16.68</v>
      </c>
      <c r="O6" s="1">
        <f>N6/$E$10</f>
        <v>1.668E-3</v>
      </c>
      <c r="Q6" s="2" t="s">
        <v>93</v>
      </c>
      <c r="R6" s="81">
        <f t="shared" ref="R6:R15" si="0">J22</f>
        <v>65</v>
      </c>
      <c r="S6" s="1">
        <f t="shared" ref="S6:S15" si="1">K22</f>
        <v>6.4999999999999997E-3</v>
      </c>
    </row>
    <row r="7" spans="1:19" x14ac:dyDescent="0.25">
      <c r="A7" s="321" t="s">
        <v>0</v>
      </c>
      <c r="B7" s="321"/>
      <c r="C7" s="321"/>
      <c r="D7" s="322"/>
      <c r="E7" s="61">
        <f>'1 Faturamentos'!B8</f>
        <v>0</v>
      </c>
      <c r="F7" s="61">
        <f>'1 Faturamentos'!C8</f>
        <v>0</v>
      </c>
      <c r="G7" s="61">
        <f>'1 Faturamentos'!D8</f>
        <v>120000</v>
      </c>
      <c r="H7" s="61">
        <f>'1 Faturamentos'!E8</f>
        <v>0</v>
      </c>
      <c r="I7" s="61">
        <f>'1 Faturamentos'!F8</f>
        <v>0</v>
      </c>
      <c r="J7" s="61">
        <f>'1 Faturamentos'!G8</f>
        <v>0</v>
      </c>
      <c r="K7" s="62">
        <f>CÁLCULO!B6</f>
        <v>50420</v>
      </c>
      <c r="M7" s="2" t="s">
        <v>94</v>
      </c>
      <c r="N7" s="81">
        <f>N23+N32+N43+N53+N61+N71+N80</f>
        <v>76.92</v>
      </c>
      <c r="O7" s="1">
        <f t="shared" ref="O7:O9" si="2">N7/$E$10</f>
        <v>7.6920000000000001E-3</v>
      </c>
      <c r="Q7" s="2" t="s">
        <v>94</v>
      </c>
      <c r="R7" s="81">
        <f t="shared" si="0"/>
        <v>300</v>
      </c>
      <c r="S7" s="1">
        <f t="shared" si="1"/>
        <v>0.03</v>
      </c>
    </row>
    <row r="8" spans="1:19" x14ac:dyDescent="0.25">
      <c r="A8" s="122"/>
      <c r="B8" s="124"/>
      <c r="C8" s="124"/>
      <c r="D8" s="124"/>
      <c r="E8" s="124"/>
      <c r="F8" s="124"/>
      <c r="G8" s="124"/>
      <c r="H8" s="124"/>
      <c r="I8" s="124"/>
      <c r="J8" s="124"/>
      <c r="K8" s="124"/>
      <c r="M8" s="2" t="s">
        <v>1</v>
      </c>
      <c r="N8" s="81">
        <f>N24+N33+N44+N54+N62+N72+N81</f>
        <v>24</v>
      </c>
      <c r="O8" s="1">
        <f t="shared" si="2"/>
        <v>2.3999999999999998E-3</v>
      </c>
      <c r="Q8" s="2" t="s">
        <v>1</v>
      </c>
      <c r="R8" s="81">
        <f t="shared" si="0"/>
        <v>480</v>
      </c>
      <c r="S8" s="1">
        <f t="shared" si="1"/>
        <v>4.8000000000000001E-2</v>
      </c>
    </row>
    <row r="9" spans="1:19" x14ac:dyDescent="0.25">
      <c r="B9" s="4"/>
      <c r="C9" s="4"/>
      <c r="D9" s="4"/>
      <c r="E9" s="4" t="s">
        <v>14</v>
      </c>
      <c r="F9" s="4" t="s">
        <v>15</v>
      </c>
      <c r="G9" s="4" t="s">
        <v>7</v>
      </c>
      <c r="H9" s="4" t="s">
        <v>134</v>
      </c>
      <c r="I9" s="4" t="s">
        <v>16</v>
      </c>
      <c r="J9" s="4" t="s">
        <v>87</v>
      </c>
      <c r="K9" s="40"/>
      <c r="M9" s="2" t="s">
        <v>92</v>
      </c>
      <c r="N9" s="81">
        <f>N25+N34+N45+N55+N63+N73+N82</f>
        <v>21.000000000000004</v>
      </c>
      <c r="O9" s="1">
        <f t="shared" si="2"/>
        <v>2.1000000000000003E-3</v>
      </c>
      <c r="Q9" s="2" t="s">
        <v>92</v>
      </c>
      <c r="R9" s="81">
        <f t="shared" si="0"/>
        <v>288</v>
      </c>
      <c r="S9" s="1">
        <f t="shared" si="1"/>
        <v>2.8799999999999999E-2</v>
      </c>
    </row>
    <row r="10" spans="1:19" x14ac:dyDescent="0.25">
      <c r="A10" s="319" t="s">
        <v>89</v>
      </c>
      <c r="B10" s="319"/>
      <c r="C10" s="319"/>
      <c r="D10" s="320"/>
      <c r="E10" s="330">
        <f>SUM(E11:J11)</f>
        <v>10000</v>
      </c>
      <c r="F10" s="331"/>
      <c r="G10" s="331"/>
      <c r="H10" s="331"/>
      <c r="I10" s="331"/>
      <c r="J10" s="332"/>
      <c r="K10" s="116" t="s">
        <v>154</v>
      </c>
      <c r="M10" s="2" t="s">
        <v>148</v>
      </c>
      <c r="N10" s="81" t="str">
        <f>IF(F11=0,"não contribuinte",N35)</f>
        <v>não contribuinte</v>
      </c>
      <c r="O10" s="1">
        <f>IF(F11=0,0,N10/$E$10)</f>
        <v>0</v>
      </c>
      <c r="Q10" s="2" t="s">
        <v>148</v>
      </c>
      <c r="R10" s="81" t="str">
        <f t="shared" si="0"/>
        <v>não contribuinte</v>
      </c>
      <c r="S10" s="1">
        <f t="shared" si="1"/>
        <v>0</v>
      </c>
    </row>
    <row r="11" spans="1:19" x14ac:dyDescent="0.25">
      <c r="A11" s="318" t="s">
        <v>90</v>
      </c>
      <c r="B11" s="318"/>
      <c r="C11" s="318"/>
      <c r="D11" s="318"/>
      <c r="E11" s="95">
        <f>'1 Faturamentos'!B12+'1 Faturamentos'!B13</f>
        <v>0</v>
      </c>
      <c r="F11" s="95">
        <f>'1 Faturamentos'!C12+'1 Faturamentos'!C13</f>
        <v>0</v>
      </c>
      <c r="G11" s="95">
        <f>'1 Faturamentos'!D12+'1 Faturamentos'!D13</f>
        <v>10000</v>
      </c>
      <c r="H11" s="95">
        <f>'1 Faturamentos'!E12+'1 Faturamentos'!E13</f>
        <v>0</v>
      </c>
      <c r="I11" s="95">
        <f>'1 Faturamentos'!F12+'1 Faturamentos'!F13</f>
        <v>0</v>
      </c>
      <c r="J11" s="95">
        <f>'1 Faturamentos'!G12+'1 Faturamentos'!G13</f>
        <v>0</v>
      </c>
      <c r="K11" s="95">
        <f>'1 Faturamentos'!H12+'1 Faturamentos'!H13+'1 Faturamentos'!I12+'1 Faturamentos'!I13</f>
        <v>4201.666666666667</v>
      </c>
      <c r="M11" s="2" t="s">
        <v>144</v>
      </c>
      <c r="N11" s="81">
        <f>F27</f>
        <v>336.13333333333338</v>
      </c>
      <c r="O11" s="1">
        <f>K27</f>
        <v>3.3613333333333335E-2</v>
      </c>
      <c r="Q11" s="2" t="s">
        <v>144</v>
      </c>
      <c r="R11" s="81">
        <f t="shared" si="0"/>
        <v>336.13333333333338</v>
      </c>
      <c r="S11" s="1">
        <f t="shared" si="1"/>
        <v>3.3613333333333335E-2</v>
      </c>
    </row>
    <row r="12" spans="1:19" x14ac:dyDescent="0.25">
      <c r="A12" s="317" t="s">
        <v>108</v>
      </c>
      <c r="B12" s="317"/>
      <c r="C12" s="317"/>
      <c r="D12" s="317"/>
      <c r="E12" s="96">
        <f>IF(E15=0,0,E11-(E11/E15))</f>
        <v>0</v>
      </c>
      <c r="F12" s="96">
        <f>IF(E15=0,0,F11-(F11/E15))</f>
        <v>0</v>
      </c>
      <c r="G12" s="96"/>
      <c r="H12" s="96"/>
      <c r="I12" s="96"/>
      <c r="J12" s="96" t="s">
        <v>142</v>
      </c>
      <c r="K12" s="96">
        <f>'1 Faturamentos'!D42</f>
        <v>1500</v>
      </c>
      <c r="M12" s="2" t="str">
        <f>IF(AND(I15="So Outros Anexos",I11&gt;0),"CPP - So Outros Anexos ",IF(AND(I15="Proporcional",I11&gt;0),"CPP Proporcional",IF(AND(I15="Receita Total",I11&gt;0),"CPP sobre Receita Total","CPP")))</f>
        <v>CPP</v>
      </c>
      <c r="N12" s="81">
        <f>IF(AND(I15="So Outros Anexos",I11&gt;0),(N26+N36+N46+N56+N74+N83),IF(AND(I15="Proporcional",I11&gt;0),N26+N36+N46+N56+N83+N74+N64,IF(AND(I15="Receita Total",I11&gt;0),F26,(N26+N36+N46+N56+N74+N83))))</f>
        <v>260.39999999999998</v>
      </c>
      <c r="O12" s="1">
        <f>N12/$E$10</f>
        <v>2.6039999999999997E-2</v>
      </c>
      <c r="Q12" s="2" t="str">
        <f>IF(K15&gt;0,"CPP sobre Receita Bruta","CPP sobre Folha")</f>
        <v>CPP sobre Folha</v>
      </c>
      <c r="R12" s="81">
        <f t="shared" si="0"/>
        <v>1528.0466666666669</v>
      </c>
      <c r="S12" s="1">
        <f t="shared" si="1"/>
        <v>0.15280466666666667</v>
      </c>
    </row>
    <row r="13" spans="1:19" x14ac:dyDescent="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M13" s="2" t="s">
        <v>2</v>
      </c>
      <c r="N13" s="81">
        <f>IF((G11+I11+J11)=0,"não contribuinte",N48+N66+N76+N85)</f>
        <v>201</v>
      </c>
      <c r="O13" s="1">
        <f>K29</f>
        <v>0.05</v>
      </c>
      <c r="Q13" s="2" t="str">
        <f>I29</f>
        <v>ISS</v>
      </c>
      <c r="R13" s="81">
        <f t="shared" si="0"/>
        <v>500</v>
      </c>
      <c r="S13" s="1">
        <f t="shared" si="1"/>
        <v>0.05</v>
      </c>
    </row>
    <row r="14" spans="1:19" x14ac:dyDescent="0.25">
      <c r="A14" s="315" t="s">
        <v>117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M14" s="202" t="s">
        <v>95</v>
      </c>
      <c r="N14" s="205">
        <f>N28+N38</f>
        <v>0</v>
      </c>
      <c r="O14" s="207">
        <f>N14/$E$10</f>
        <v>0</v>
      </c>
      <c r="P14" s="203"/>
      <c r="Q14" s="202" t="s">
        <v>95</v>
      </c>
      <c r="R14" s="205" t="str">
        <f t="shared" si="0"/>
        <v>não contribuinte</v>
      </c>
      <c r="S14" s="207">
        <f t="shared" si="1"/>
        <v>0</v>
      </c>
    </row>
    <row r="15" spans="1:19" x14ac:dyDescent="0.25">
      <c r="A15" s="316" t="s">
        <v>104</v>
      </c>
      <c r="B15" s="316"/>
      <c r="C15" s="316"/>
      <c r="D15" s="316"/>
      <c r="E15" s="182">
        <v>2.4</v>
      </c>
      <c r="F15" s="64" t="s">
        <v>107</v>
      </c>
      <c r="G15" s="197">
        <v>0.2</v>
      </c>
      <c r="H15" s="64" t="s">
        <v>166</v>
      </c>
      <c r="I15" s="198" t="s">
        <v>171</v>
      </c>
      <c r="J15" s="64" t="s">
        <v>157</v>
      </c>
      <c r="K15" s="199">
        <v>0</v>
      </c>
      <c r="L15" s="125"/>
      <c r="M15" s="202" t="str">
        <f>E31</f>
        <v>INSS ret. Pro-Labore</v>
      </c>
      <c r="N15" s="82">
        <f t="shared" ref="N15:O15" si="3">F31</f>
        <v>165</v>
      </c>
      <c r="O15" s="207">
        <f t="shared" si="3"/>
        <v>1.6500000000000001E-2</v>
      </c>
      <c r="P15" s="203"/>
      <c r="Q15" s="202" t="str">
        <f>I31</f>
        <v>INSS ret. Pro-Labore</v>
      </c>
      <c r="R15" s="82">
        <f t="shared" si="0"/>
        <v>165</v>
      </c>
      <c r="S15" s="207">
        <f t="shared" si="1"/>
        <v>1.6500000000000001E-2</v>
      </c>
    </row>
    <row r="16" spans="1:19" x14ac:dyDescent="0.25">
      <c r="A16" s="316" t="s">
        <v>105</v>
      </c>
      <c r="B16" s="316"/>
      <c r="C16" s="316"/>
      <c r="D16" s="316"/>
      <c r="E16" s="200">
        <v>0.05</v>
      </c>
      <c r="F16" s="64" t="s">
        <v>147</v>
      </c>
      <c r="G16" s="197">
        <v>0.1</v>
      </c>
      <c r="H16" s="64" t="s">
        <v>158</v>
      </c>
      <c r="I16" s="196">
        <v>0</v>
      </c>
      <c r="J16" s="64" t="s">
        <v>172</v>
      </c>
      <c r="K16" s="201"/>
      <c r="L16" s="125"/>
      <c r="M16" s="208" t="str">
        <f>E32</f>
        <v xml:space="preserve"> </v>
      </c>
      <c r="N16" s="206" t="str">
        <f t="shared" ref="N16" si="4">F32</f>
        <v xml:space="preserve"> </v>
      </c>
      <c r="O16" s="83" t="str">
        <f t="shared" ref="O16" si="5">G32</f>
        <v xml:space="preserve"> </v>
      </c>
      <c r="P16" s="204"/>
      <c r="Q16" s="208" t="str">
        <f>I32</f>
        <v xml:space="preserve"> </v>
      </c>
      <c r="R16" s="206" t="str">
        <f t="shared" ref="R16" si="6">J32</f>
        <v xml:space="preserve"> </v>
      </c>
      <c r="S16" s="83" t="str">
        <f t="shared" ref="S16" si="7">K32</f>
        <v xml:space="preserve"> </v>
      </c>
    </row>
    <row r="17" spans="1:19" x14ac:dyDescent="0.25">
      <c r="A17" s="316" t="s">
        <v>178</v>
      </c>
      <c r="B17" s="316"/>
      <c r="C17" s="316"/>
      <c r="D17" s="316"/>
      <c r="E17" s="200" t="s">
        <v>177</v>
      </c>
      <c r="F17" s="170" t="s">
        <v>207</v>
      </c>
      <c r="G17" s="197" t="s">
        <v>196</v>
      </c>
      <c r="H17" s="118"/>
      <c r="I17" s="119"/>
      <c r="J17" s="118"/>
      <c r="K17" s="120"/>
      <c r="L17" s="125"/>
      <c r="M17" s="54" t="s">
        <v>109</v>
      </c>
      <c r="N17" s="55">
        <f>SUM(N6:N14)</f>
        <v>936.13333333333333</v>
      </c>
      <c r="O17" s="53">
        <f>SUM(O6:O16)</f>
        <v>0.14001333333333332</v>
      </c>
      <c r="P17" s="52"/>
      <c r="Q17" s="54" t="s">
        <v>109</v>
      </c>
      <c r="R17" s="55">
        <f>SUM(R6:R14)</f>
        <v>3497.1800000000003</v>
      </c>
      <c r="S17" s="53">
        <f>SUM(S6:S16)</f>
        <v>0.36621799999999999</v>
      </c>
    </row>
    <row r="18" spans="1:19" ht="15.95" customHeight="1" x14ac:dyDescent="0.25">
      <c r="A18" s="122"/>
      <c r="B18" s="123"/>
      <c r="C18" s="123"/>
      <c r="D18" s="123"/>
      <c r="E18" s="121"/>
      <c r="F18" s="121"/>
      <c r="G18" s="121"/>
      <c r="H18" s="121"/>
      <c r="I18" s="121"/>
      <c r="J18" s="121"/>
      <c r="K18" s="121"/>
      <c r="L18" s="125"/>
    </row>
    <row r="19" spans="1:19" ht="31.5" x14ac:dyDescent="0.5">
      <c r="A19" s="314" t="s">
        <v>132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M19" s="310" t="s">
        <v>140</v>
      </c>
      <c r="N19" s="310"/>
      <c r="O19" s="310"/>
      <c r="Q19" s="310" t="s">
        <v>91</v>
      </c>
      <c r="R19" s="310"/>
      <c r="S19" s="310"/>
    </row>
    <row r="20" spans="1:19" ht="16.350000000000001" customHeight="1" x14ac:dyDescent="0.25">
      <c r="B20" s="77"/>
      <c r="C20" s="77"/>
      <c r="D20" s="77"/>
      <c r="E20" s="72">
        <f>E12*E15</f>
        <v>0</v>
      </c>
      <c r="F20" s="72"/>
      <c r="G20" s="72"/>
      <c r="H20" s="121"/>
      <c r="I20" s="72"/>
      <c r="J20" s="72"/>
      <c r="K20" s="72"/>
      <c r="L20" s="125"/>
      <c r="N20" s="3"/>
    </row>
    <row r="21" spans="1:19" ht="15.95" customHeight="1" x14ac:dyDescent="0.25">
      <c r="A21" s="340"/>
      <c r="B21" s="340" t="s">
        <v>155</v>
      </c>
      <c r="C21" s="340"/>
      <c r="D21" s="90"/>
      <c r="E21" s="307" t="s">
        <v>110</v>
      </c>
      <c r="F21" s="308"/>
      <c r="G21" s="309"/>
      <c r="H21" s="128"/>
      <c r="I21" s="334" t="s">
        <v>111</v>
      </c>
      <c r="J21" s="335"/>
      <c r="K21" s="336"/>
      <c r="L21" s="125"/>
      <c r="M21" s="84" t="s">
        <v>163</v>
      </c>
      <c r="N21" s="85">
        <f>E11*O21</f>
        <v>0</v>
      </c>
      <c r="O21" s="86">
        <f>(($E$6*LOOKUP($E$6,'3 Tabelas Simples Nacional 2018'!$A$2:$A$7,'3 Tabelas Simples Nacional 2018'!C2:C7))-LOOKUP($E$6,'3 Tabelas Simples Nacional 2018'!$A$2:$A$7,'3 Tabelas Simples Nacional 2018'!D2:D7))/$E$6</f>
        <v>0.04</v>
      </c>
      <c r="Q21" s="87" t="s">
        <v>179</v>
      </c>
      <c r="R21" s="88">
        <f>IF(E17="Hospitalar 8% LP",(G11+H11+I11)*3*S21,(G11+H11+I11+J11)*3*S21)</f>
        <v>9600</v>
      </c>
      <c r="S21" s="89">
        <v>0.32</v>
      </c>
    </row>
    <row r="22" spans="1:19" ht="15.95" customHeight="1" x14ac:dyDescent="0.25">
      <c r="A22" s="340"/>
      <c r="B22" s="340"/>
      <c r="C22" s="340"/>
      <c r="D22" s="90"/>
      <c r="E22" s="215" t="s">
        <v>97</v>
      </c>
      <c r="F22" s="79">
        <f>IF(AND(I15="Proporcional",I11&gt;0),N21+N30+N40+N50+N58+N68+N78,IF(AND(I15="Receita Total",I11&gt;0),N21+N30+N40+N50+N58+N68+N78-N26-N36-N46-N56-N74-N83,N21+N30+N40+N50+N58+N68+N78))</f>
        <v>600</v>
      </c>
      <c r="G22" s="209">
        <f>F22/E10</f>
        <v>0.06</v>
      </c>
      <c r="H22" s="128"/>
      <c r="I22" s="215" t="s">
        <v>112</v>
      </c>
      <c r="J22" s="79">
        <f>$E$10*K22</f>
        <v>65</v>
      </c>
      <c r="K22" s="209">
        <v>6.4999999999999997E-3</v>
      </c>
      <c r="L22" s="125"/>
      <c r="M22" s="2" t="s">
        <v>93</v>
      </c>
      <c r="N22" s="44">
        <f>N21*O22</f>
        <v>0</v>
      </c>
      <c r="O22" s="1">
        <f>LOOKUP($E$6,'3 Tabelas Simples Nacional 2018'!$A$2:$A$7,'3 Tabelas Simples Nacional 2018'!H2:H7)</f>
        <v>2.76E-2</v>
      </c>
      <c r="Q22" s="2" t="s">
        <v>1</v>
      </c>
      <c r="R22" s="3">
        <f>R21*0.15</f>
        <v>1440</v>
      </c>
      <c r="S22" s="1">
        <v>0.15</v>
      </c>
    </row>
    <row r="23" spans="1:19" ht="15.95" customHeight="1" x14ac:dyDescent="0.25">
      <c r="A23" s="340"/>
      <c r="B23" s="340"/>
      <c r="C23" s="340"/>
      <c r="D23" s="90"/>
      <c r="E23" s="216"/>
      <c r="F23" s="79"/>
      <c r="G23" s="209"/>
      <c r="H23" s="122"/>
      <c r="I23" s="215" t="s">
        <v>113</v>
      </c>
      <c r="J23" s="79">
        <f>$E$10*K23</f>
        <v>300</v>
      </c>
      <c r="K23" s="209">
        <v>0.03</v>
      </c>
      <c r="L23" s="125"/>
      <c r="M23" s="2" t="s">
        <v>94</v>
      </c>
      <c r="N23" s="44">
        <f>N21*O23</f>
        <v>0</v>
      </c>
      <c r="O23" s="1">
        <f>LOOKUP($E$6,'3 Tabelas Simples Nacional 2018'!$A$2:$A$7,'3 Tabelas Simples Nacional 2018'!G2:G7)</f>
        <v>0.12740000000000001</v>
      </c>
      <c r="Q23" s="2" t="s">
        <v>4</v>
      </c>
      <c r="R23" s="3">
        <f>IF(R21&lt;60000,0,((R21-60000)*S23))</f>
        <v>0</v>
      </c>
      <c r="S23" s="1">
        <v>0.1</v>
      </c>
    </row>
    <row r="24" spans="1:19" ht="15.95" customHeight="1" x14ac:dyDescent="0.25">
      <c r="A24" s="340"/>
      <c r="B24" s="340"/>
      <c r="C24" s="340"/>
      <c r="D24" s="90"/>
      <c r="E24" s="217"/>
      <c r="F24" s="80"/>
      <c r="G24" s="209"/>
      <c r="H24" s="169"/>
      <c r="I24" s="215" t="s">
        <v>114</v>
      </c>
      <c r="J24" s="79">
        <f>(R22+R23+R28+R29)/3</f>
        <v>480</v>
      </c>
      <c r="K24" s="209">
        <f>J24/$E$10</f>
        <v>4.8000000000000001E-2</v>
      </c>
      <c r="M24" s="2" t="s">
        <v>1</v>
      </c>
      <c r="N24" s="44">
        <f>N21*O24</f>
        <v>0</v>
      </c>
      <c r="O24" s="1">
        <f>LOOKUP($E$6,'3 Tabelas Simples Nacional 2018'!$A$2:$A$7,'3 Tabelas Simples Nacional 2018'!E2:E7)</f>
        <v>5.5E-2</v>
      </c>
      <c r="Q24" s="2" t="s">
        <v>3</v>
      </c>
      <c r="R24" s="3">
        <f>R21*S24</f>
        <v>864</v>
      </c>
      <c r="S24" s="1">
        <f>9%</f>
        <v>0.09</v>
      </c>
    </row>
    <row r="25" spans="1:19" ht="15.95" customHeight="1" x14ac:dyDescent="0.25">
      <c r="A25" s="340"/>
      <c r="B25" s="340"/>
      <c r="C25" s="340"/>
      <c r="D25" s="90"/>
      <c r="E25" s="216"/>
      <c r="F25" s="79"/>
      <c r="G25" s="209"/>
      <c r="H25" s="122"/>
      <c r="I25" s="215" t="s">
        <v>115</v>
      </c>
      <c r="J25" s="79">
        <f>(R24+R31)/3</f>
        <v>288</v>
      </c>
      <c r="K25" s="209">
        <f>J25/$E$10</f>
        <v>2.8799999999999999E-2</v>
      </c>
      <c r="M25" s="2" t="s">
        <v>92</v>
      </c>
      <c r="N25" s="44">
        <f>N21*O25</f>
        <v>0</v>
      </c>
      <c r="O25" s="1">
        <f>LOOKUP($E$6,'3 Tabelas Simples Nacional 2018'!$A$2:$A$7,'3 Tabelas Simples Nacional 2018'!F2:F7)</f>
        <v>3.5000000000000003E-2</v>
      </c>
      <c r="P25" s="44"/>
    </row>
    <row r="26" spans="1:19" ht="15.95" customHeight="1" x14ac:dyDescent="0.25">
      <c r="A26" s="340"/>
      <c r="B26" s="340"/>
      <c r="C26" s="340"/>
      <c r="D26" s="90"/>
      <c r="E26" s="215" t="str">
        <f>IF(I15="So Outros Anexos"," ",IF(I11&gt;0,"CPP Anexo IV a pg"," "))</f>
        <v xml:space="preserve"> </v>
      </c>
      <c r="F26" s="79" t="str">
        <f>IF(AND(I15="So Outros Anexos",I11&gt;0)," ",IF(AND(I15="Proporcional",I11&gt;0),N64,IF(AND(I15="Receita Total",I11&gt;0),J28," ")))</f>
        <v xml:space="preserve"> </v>
      </c>
      <c r="G26" s="209" t="str">
        <f>IF(I15="So Outros Anexos"," ",IF(I11&gt;0,F26/E10," "))</f>
        <v xml:space="preserve"> </v>
      </c>
      <c r="H26" s="122"/>
      <c r="I26" s="215" t="s">
        <v>146</v>
      </c>
      <c r="J26" s="212" t="str">
        <f>IF(F11=0,"não contribuinte",F12*G16)</f>
        <v>não contribuinte</v>
      </c>
      <c r="K26" s="209">
        <f>IF(F11=0,0,J26/E10)</f>
        <v>0</v>
      </c>
      <c r="M26" s="2" t="s">
        <v>96</v>
      </c>
      <c r="N26" s="44">
        <f>N21*O26</f>
        <v>0</v>
      </c>
      <c r="O26" s="1">
        <f>LOOKUP($E$6,'3 Tabelas Simples Nacional 2018'!$A$2:$A$7,'3 Tabelas Simples Nacional 2018'!I2:I7)</f>
        <v>0.41499999999999998</v>
      </c>
    </row>
    <row r="27" spans="1:19" ht="15.95" customHeight="1" x14ac:dyDescent="0.25">
      <c r="A27" s="340"/>
      <c r="B27" s="340"/>
      <c r="C27" s="340"/>
      <c r="D27" s="90"/>
      <c r="E27" s="215" t="str">
        <f>IF(K11=0," ","FGTS a pagar")</f>
        <v>FGTS a pagar</v>
      </c>
      <c r="F27" s="79">
        <f>IF('1 Faturamentos'!H12+'1 Faturamentos'!H13=0," ",('1 Faturamentos'!H12+'1 Faturamentos'!H13)*0.08)</f>
        <v>336.13333333333338</v>
      </c>
      <c r="G27" s="209">
        <f>IF(K11=0," ",F27/E10)</f>
        <v>3.3613333333333335E-2</v>
      </c>
      <c r="H27" s="122"/>
      <c r="I27" s="222" t="s">
        <v>141</v>
      </c>
      <c r="J27" s="79">
        <f>K11*0.08</f>
        <v>336.13333333333338</v>
      </c>
      <c r="K27" s="209">
        <f>J27/E10</f>
        <v>3.3613333333333335E-2</v>
      </c>
      <c r="L27" s="125"/>
      <c r="M27" s="333" t="str">
        <f>IF(E6&gt;3600000,"Faturamento Acima de R$ 3.600.000,00 - ICMS à parte:","Faturamento Abaixo de R$ 3.600.000,00 - Repartição no DAS:")</f>
        <v>Faturamento Abaixo de R$ 3.600.000,00 - Repartição no DAS:</v>
      </c>
      <c r="N27" s="333"/>
      <c r="O27" s="333"/>
      <c r="Q27" s="87" t="s">
        <v>180</v>
      </c>
      <c r="R27" s="88">
        <f>IF(E17="Hospitalar 8% LP",(E11+F11+J11)*3*S27,(E11+F11)*3*S27)</f>
        <v>0</v>
      </c>
      <c r="S27" s="89">
        <v>0.08</v>
      </c>
    </row>
    <row r="28" spans="1:19" ht="15.95" customHeight="1" x14ac:dyDescent="0.25">
      <c r="A28" s="340"/>
      <c r="B28" s="340"/>
      <c r="C28" s="340"/>
      <c r="D28" s="90"/>
      <c r="E28" s="218" t="str">
        <f>IF(E6&gt;3600000,"Faturamento acima de R$ 3.600.000 - pagar ICMS/ISS à parte:"," ")</f>
        <v xml:space="preserve"> </v>
      </c>
      <c r="F28" s="79"/>
      <c r="G28" s="210"/>
      <c r="H28" s="129"/>
      <c r="I28" s="215" t="s">
        <v>116</v>
      </c>
      <c r="J28" s="79">
        <f>IF(K15&gt;0,E10*K15,(K11+K12)*0.268)</f>
        <v>1528.0466666666669</v>
      </c>
      <c r="K28" s="209">
        <f>J28/E10</f>
        <v>0.15280466666666667</v>
      </c>
      <c r="L28" s="125"/>
      <c r="M28" s="2" t="str">
        <f>IF(E6&gt;3600000,IF(I16&gt;0,"ICMS Restaurante","ICMS por fora do DAS"),"ICMS por dentro do DAS")</f>
        <v>ICMS por dentro do DAS</v>
      </c>
      <c r="N28" s="44">
        <f>IF($E$6&gt;3600000,IF(I16&gt;0,E11*I16,$E$12*$G$15),N21*O28)</f>
        <v>0</v>
      </c>
      <c r="O28" s="1">
        <f>IF($E$6&gt;3600000,N28/E11,LOOKUP($E$6,'3 Tabelas Simples Nacional 2018'!$A$2:$A$7,'3 Tabelas Simples Nacional 2018'!J2:J7))</f>
        <v>0.34</v>
      </c>
      <c r="Q28" s="2" t="s">
        <v>1</v>
      </c>
      <c r="R28" s="3">
        <f>R27*0.15</f>
        <v>0</v>
      </c>
      <c r="S28" s="1">
        <v>0.15</v>
      </c>
    </row>
    <row r="29" spans="1:19" ht="15.95" customHeight="1" x14ac:dyDescent="0.25">
      <c r="A29" s="340"/>
      <c r="B29" s="340"/>
      <c r="C29" s="340"/>
      <c r="D29" s="90"/>
      <c r="E29" s="215" t="str">
        <f>IF((G11+I11+J11)=0," ",IF(E6&gt;3600000,"ISS a pagar"," "))</f>
        <v xml:space="preserve"> </v>
      </c>
      <c r="F29" s="79" t="str">
        <f>IF((G11+I11+J11)=0," ",IF(E6&gt;3600000,N13," "))</f>
        <v xml:space="preserve"> </v>
      </c>
      <c r="G29" s="209" t="str">
        <f>IF((G11+I11+J11)=0," ",IF(E6&gt;3600000,O13," "))</f>
        <v xml:space="preserve"> </v>
      </c>
      <c r="H29" s="122"/>
      <c r="I29" s="223" t="str">
        <f>IF($K$16&gt;0,"ISS Uniprofissional","ISS")</f>
        <v>ISS</v>
      </c>
      <c r="J29" s="213">
        <f>IF((G11+I11+J11)=0,"não contribuinte",IF($K$16&gt;0,LOOKUP($K$16,'3 Tabelas Simples Nacional 2018'!A11:A60,'3 Tabelas Simples Nacional 2018'!B11:B60),(G11+I11+J11)*E16))</f>
        <v>500</v>
      </c>
      <c r="K29" s="209">
        <f>IF((G11+I11+J11)=0,0,J29/E10)</f>
        <v>0.05</v>
      </c>
      <c r="L29" s="125"/>
      <c r="O29" s="100"/>
      <c r="Q29" s="2" t="s">
        <v>4</v>
      </c>
      <c r="R29" s="3">
        <f>IF(R27&lt;60000,0,((R27-60000)*S29))</f>
        <v>0</v>
      </c>
      <c r="S29" s="1">
        <v>0.1</v>
      </c>
    </row>
    <row r="30" spans="1:19" ht="15.95" customHeight="1" x14ac:dyDescent="0.25">
      <c r="A30" s="340"/>
      <c r="B30" s="340"/>
      <c r="C30" s="340"/>
      <c r="D30" s="90"/>
      <c r="E30" s="215" t="str">
        <f>IF((E11+F11)=0," ",IF(E6&gt;3600000,"ICMS a pagar"," "))</f>
        <v xml:space="preserve"> </v>
      </c>
      <c r="F30" s="79" t="str">
        <f>IF((E11+F11)=0," ",IF(E6&gt;3600000,N14," "))</f>
        <v xml:space="preserve"> </v>
      </c>
      <c r="G30" s="209" t="str">
        <f>IF((E11+F11)=0," ",IF(E6&gt;3600000,O14," "))</f>
        <v xml:space="preserve"> </v>
      </c>
      <c r="H30" s="122"/>
      <c r="I30" s="215" t="s">
        <v>139</v>
      </c>
      <c r="J30" s="212" t="str">
        <f>IF((E11+F11)=0,"não contribuinte",(E12+F12)*G15)</f>
        <v>não contribuinte</v>
      </c>
      <c r="K30" s="209">
        <f>IF((E11+F11)=0,0,J30/E10)</f>
        <v>0</v>
      </c>
      <c r="M30" s="84" t="s">
        <v>164</v>
      </c>
      <c r="N30" s="85">
        <f>F11*O30</f>
        <v>0</v>
      </c>
      <c r="O30" s="86">
        <f>(($E$6*LOOKUP($E$6,'3 Tabelas Simples Nacional 2018'!$A$2:$A$7,'3 Tabelas Simples Nacional 2018'!K2:K7))-LOOKUP($E$6,'3 Tabelas Simples Nacional 2018'!$A$2:$A$7,'3 Tabelas Simples Nacional 2018'!L2:L7))/$E$6</f>
        <v>4.4999999999999998E-2</v>
      </c>
      <c r="Q30" s="87" t="s">
        <v>180</v>
      </c>
      <c r="R30" s="88">
        <f>(E11+F11)*3*S30</f>
        <v>0</v>
      </c>
      <c r="S30" s="89">
        <v>0.12</v>
      </c>
    </row>
    <row r="31" spans="1:19" ht="15.95" customHeight="1" x14ac:dyDescent="0.25">
      <c r="A31" s="340"/>
      <c r="B31" s="340"/>
      <c r="C31" s="340"/>
      <c r="D31" s="90"/>
      <c r="E31" s="215" t="str">
        <f>IF(G17="não"," ",IF('1 Faturamentos'!H42&gt;0,"INSS ret. Pro-Labore"," "))</f>
        <v>INSS ret. Pro-Labore</v>
      </c>
      <c r="F31" s="79">
        <f>IF(G17="não"," ",IF('1 Faturamentos'!H42,'1 Faturamentos'!H42," "))</f>
        <v>165</v>
      </c>
      <c r="G31" s="209">
        <f>IF(G17="não"," ",IF('1 Faturamentos'!H42,F31/E10," "))</f>
        <v>1.6500000000000001E-2</v>
      </c>
      <c r="I31" s="215" t="str">
        <f>E31</f>
        <v>INSS ret. Pro-Labore</v>
      </c>
      <c r="J31" s="211">
        <f>F31</f>
        <v>165</v>
      </c>
      <c r="K31" s="224">
        <f>G31</f>
        <v>1.6500000000000001E-2</v>
      </c>
      <c r="L31" s="125"/>
      <c r="M31" s="2" t="s">
        <v>93</v>
      </c>
      <c r="N31" s="44">
        <f>N30*O31</f>
        <v>0</v>
      </c>
      <c r="O31" s="1">
        <f>LOOKUP(E6,'3 Tabelas Simples Nacional 2018'!$A$2:$A$7,'3 Tabelas Simples Nacional 2018'!P2:P7)</f>
        <v>2.4899999999999999E-2</v>
      </c>
      <c r="Q31" s="2" t="s">
        <v>3</v>
      </c>
      <c r="R31" s="3">
        <f>R30*S31</f>
        <v>0</v>
      </c>
      <c r="S31" s="1">
        <v>0.09</v>
      </c>
    </row>
    <row r="32" spans="1:19" ht="15.95" customHeight="1" x14ac:dyDescent="0.25">
      <c r="A32" s="340"/>
      <c r="B32" s="340"/>
      <c r="C32" s="340"/>
      <c r="D32" s="90"/>
      <c r="E32" s="215" t="str">
        <f>IF(G17="não"," ",IF('1 Faturamentos'!$G$42&gt;0,"IRRF ret. Pro-Labore"," "))</f>
        <v xml:space="preserve"> </v>
      </c>
      <c r="F32" s="79" t="str">
        <f>IF(G17="não"," ",IF('1 Faturamentos'!G42&gt;0,'1 Faturamentos'!G42," "))</f>
        <v xml:space="preserve"> </v>
      </c>
      <c r="G32" s="209" t="str">
        <f>IF(G17="não"," ",IF('1 Faturamentos'!G42&gt;0,F32/E10," "))</f>
        <v xml:space="preserve"> </v>
      </c>
      <c r="I32" s="215" t="str">
        <f>IF('1 Faturamentos'!G42&gt;0,"IRRF ret. Pro-Labore"," ")</f>
        <v xml:space="preserve"> </v>
      </c>
      <c r="J32" s="211" t="str">
        <f>F32</f>
        <v xml:space="preserve"> </v>
      </c>
      <c r="K32" s="224" t="str">
        <f>G32</f>
        <v xml:space="preserve"> </v>
      </c>
      <c r="M32" s="2" t="s">
        <v>94</v>
      </c>
      <c r="N32" s="44">
        <f>N30*O32</f>
        <v>0</v>
      </c>
      <c r="O32" s="1">
        <f>LOOKUP(E6,'3 Tabelas Simples Nacional 2018'!$A$2:$A$7,'3 Tabelas Simples Nacional 2018'!O2:O7)</f>
        <v>0.11509999999999999</v>
      </c>
      <c r="Q32" s="122"/>
      <c r="R32" s="129"/>
      <c r="S32" s="131"/>
    </row>
    <row r="33" spans="1:19" ht="15.95" customHeight="1" x14ac:dyDescent="0.25">
      <c r="A33" s="340"/>
      <c r="B33" s="340"/>
      <c r="C33" s="340"/>
      <c r="D33" s="90"/>
      <c r="E33" s="215" t="s">
        <v>135</v>
      </c>
      <c r="F33" s="165"/>
      <c r="G33" s="209">
        <f>F33/E10</f>
        <v>0</v>
      </c>
      <c r="H33" s="122"/>
      <c r="I33" s="215" t="s">
        <v>135</v>
      </c>
      <c r="J33" s="165"/>
      <c r="K33" s="209">
        <f>J33/E10</f>
        <v>0</v>
      </c>
      <c r="M33" s="2" t="s">
        <v>1</v>
      </c>
      <c r="N33" s="44">
        <f>N30*O33</f>
        <v>0</v>
      </c>
      <c r="O33" s="1">
        <f>LOOKUP(E6,'3 Tabelas Simples Nacional 2018'!$A$2:$A$7,'3 Tabelas Simples Nacional 2018'!M2:M7)</f>
        <v>5.5E-2</v>
      </c>
      <c r="Q33" s="132"/>
      <c r="R33" s="129"/>
      <c r="S33" s="131"/>
    </row>
    <row r="34" spans="1:19" ht="15.95" customHeight="1" x14ac:dyDescent="0.25">
      <c r="A34" s="340"/>
      <c r="B34" s="340"/>
      <c r="C34" s="340"/>
      <c r="D34" s="90"/>
      <c r="E34" s="219" t="s">
        <v>137</v>
      </c>
      <c r="F34" s="220">
        <f>SUM(F22:F33)</f>
        <v>1101.1333333333334</v>
      </c>
      <c r="G34" s="221">
        <f>SUM(G22:G33)</f>
        <v>0.11011333333333333</v>
      </c>
      <c r="H34" s="130"/>
      <c r="I34" s="225" t="s">
        <v>138</v>
      </c>
      <c r="J34" s="214">
        <f>SUM(J22:J33)</f>
        <v>3662.1800000000003</v>
      </c>
      <c r="K34" s="226">
        <f>SUM(K22:K33)</f>
        <v>0.36621799999999999</v>
      </c>
      <c r="M34" s="2" t="s">
        <v>92</v>
      </c>
      <c r="N34" s="44">
        <f>N30*O34</f>
        <v>0</v>
      </c>
      <c r="O34" s="1">
        <f>LOOKUP(E6,'3 Tabelas Simples Nacional 2018'!$A$2:$A$7,'3 Tabelas Simples Nacional 2018'!N2:N7)</f>
        <v>3.5000000000000003E-2</v>
      </c>
      <c r="Q34" s="166"/>
      <c r="R34" s="129"/>
      <c r="S34" s="131"/>
    </row>
    <row r="35" spans="1:19" ht="15.95" customHeight="1" x14ac:dyDescent="0.25">
      <c r="A35" s="340"/>
      <c r="B35" s="340"/>
      <c r="C35" s="340"/>
      <c r="D35" s="90"/>
      <c r="G35" s="1"/>
      <c r="H35" s="122"/>
      <c r="I35" s="40"/>
      <c r="K35" s="1"/>
      <c r="M35" s="2" t="s">
        <v>148</v>
      </c>
      <c r="N35" s="44">
        <f>N30*O35</f>
        <v>0</v>
      </c>
      <c r="O35" s="1">
        <f>LOOKUP($E$6,'3 Tabelas Simples Nacional 2018'!$A$2:$A$7,'3 Tabelas Simples Nacional 2018'!R2:R7)</f>
        <v>7.4999999999999997E-2</v>
      </c>
      <c r="Q35" s="128"/>
      <c r="R35" s="129"/>
      <c r="S35" s="131"/>
    </row>
    <row r="36" spans="1:19" ht="15.95" customHeight="1" x14ac:dyDescent="0.25">
      <c r="A36" s="340"/>
      <c r="B36" s="340"/>
      <c r="C36" s="340"/>
      <c r="D36" s="90"/>
      <c r="E36" s="341" t="s">
        <v>100</v>
      </c>
      <c r="F36" s="337" t="s">
        <v>136</v>
      </c>
      <c r="G36" s="337"/>
      <c r="H36" s="338">
        <f>IF(F34&lt;J34,J34/F34-1,F34/J34-1)</f>
        <v>2.3258279348549977</v>
      </c>
      <c r="I36" s="339" t="str">
        <f>IF(F34&gt;J34,"mais caro que o Lucro Presumido!","mais barato que o Lucro Presumido!")</f>
        <v>mais barato que o Lucro Presumido!</v>
      </c>
      <c r="J36" s="339"/>
      <c r="K36" s="339"/>
      <c r="M36" s="2" t="s">
        <v>96</v>
      </c>
      <c r="N36" s="44">
        <f>N30*O36</f>
        <v>0</v>
      </c>
      <c r="O36" s="1">
        <f>LOOKUP(E6,'3 Tabelas Simples Nacional 2018'!$A$2:$A$7,'3 Tabelas Simples Nacional 2018'!Q2:Q7)</f>
        <v>0.375</v>
      </c>
      <c r="Q36" s="167"/>
      <c r="R36" s="129"/>
      <c r="S36" s="131"/>
    </row>
    <row r="37" spans="1:19" ht="15.95" customHeight="1" x14ac:dyDescent="0.25">
      <c r="A37" s="340"/>
      <c r="B37" s="340"/>
      <c r="C37" s="340"/>
      <c r="D37" s="90"/>
      <c r="E37" s="341"/>
      <c r="F37" s="337"/>
      <c r="G37" s="337"/>
      <c r="H37" s="338"/>
      <c r="I37" s="339"/>
      <c r="J37" s="339"/>
      <c r="K37" s="339"/>
      <c r="M37" s="333" t="str">
        <f>IF($E$6&gt;3600000,"Faturamento Acima de R$ 3.600.000,00 - ICMS à parte:","Faturamento Abaixo de R$ 3.600.000,00 - Repartição no DAS:")</f>
        <v>Faturamento Abaixo de R$ 3.600.000,00 - Repartição no DAS:</v>
      </c>
      <c r="N37" s="333"/>
      <c r="O37" s="333"/>
      <c r="Q37" s="122"/>
      <c r="R37" s="129"/>
      <c r="S37" s="131"/>
    </row>
    <row r="38" spans="1:19" ht="15.95" customHeight="1" x14ac:dyDescent="0.25">
      <c r="A38" s="340"/>
      <c r="B38" s="340"/>
      <c r="C38" s="340"/>
      <c r="D38" s="90"/>
      <c r="H38" s="129"/>
      <c r="M38" s="2" t="str">
        <f>IF(E6&gt;3600000,"ICMS por fora do DAS","ICMS por dentro do DAS")</f>
        <v>ICMS por dentro do DAS</v>
      </c>
      <c r="N38" s="44">
        <f>IF($E$6&gt;3600000,F12*$G$15,N30*O38)</f>
        <v>0</v>
      </c>
      <c r="O38" s="1">
        <f>IF(E6&gt;3600000,N38/F11,LOOKUP(E6,'3 Tabelas Simples Nacional 2018'!$A$2:$A$7,'3 Tabelas Simples Nacional 2018'!S2:S7))</f>
        <v>0.32</v>
      </c>
      <c r="Q38" s="122"/>
      <c r="R38" s="129"/>
      <c r="S38" s="131"/>
    </row>
    <row r="39" spans="1:19" ht="15.95" customHeight="1" x14ac:dyDescent="0.25">
      <c r="A39" s="340"/>
      <c r="B39" s="340"/>
      <c r="C39" s="340"/>
      <c r="D39" s="90"/>
      <c r="E39" s="45" t="s">
        <v>102</v>
      </c>
      <c r="F39" s="43"/>
      <c r="G39" s="46"/>
      <c r="H39" s="122"/>
      <c r="I39" s="45" t="s">
        <v>103</v>
      </c>
      <c r="J39" s="48"/>
      <c r="K39" s="46"/>
      <c r="Q39" s="122"/>
      <c r="R39" s="129"/>
      <c r="S39" s="131"/>
    </row>
    <row r="40" spans="1:19" x14ac:dyDescent="0.25">
      <c r="A40" s="340"/>
      <c r="B40" s="340"/>
      <c r="C40" s="340"/>
      <c r="D40" s="122"/>
      <c r="E40" s="47" t="s">
        <v>5</v>
      </c>
      <c r="F40" s="47"/>
      <c r="G40" s="47"/>
      <c r="H40" s="122"/>
      <c r="I40" s="49" t="s">
        <v>101</v>
      </c>
      <c r="J40" s="49"/>
      <c r="K40" s="49"/>
      <c r="M40" s="84" t="s">
        <v>165</v>
      </c>
      <c r="N40" s="85">
        <f>G11*O40</f>
        <v>600</v>
      </c>
      <c r="O40" s="86">
        <f>(($E$6*LOOKUP($E$6,'3 Tabelas Simples Nacional 2018'!$A$2:$A$7,'3 Tabelas Simples Nacional 2018'!T2:T7)-LOOKUP($E$6,'3 Tabelas Simples Nacional 2018'!$A$2:$A$7,'3 Tabelas Simples Nacional 2018'!U2:U7))/$E$6)</f>
        <v>0.06</v>
      </c>
      <c r="Q40" s="122"/>
      <c r="R40" s="129"/>
      <c r="S40" s="131"/>
    </row>
    <row r="41" spans="1:19" x14ac:dyDescent="0.25">
      <c r="A41" s="340"/>
      <c r="B41" s="340"/>
      <c r="C41" s="340"/>
      <c r="D41" s="122"/>
      <c r="E41" s="47" t="s">
        <v>98</v>
      </c>
      <c r="F41" s="47"/>
      <c r="G41" s="47"/>
      <c r="H41" s="122"/>
      <c r="I41" s="49" t="s">
        <v>99</v>
      </c>
      <c r="J41" s="49"/>
      <c r="K41" s="49"/>
      <c r="M41" s="66" t="str">
        <f>IF($E$6&gt;3600000," ",IF(O40&gt;0.1492537,"Anexo III sem ISS para repartir"," "))</f>
        <v xml:space="preserve"> </v>
      </c>
      <c r="N41" s="97" t="str">
        <f>IF($E$6&gt;3600000," ",IF(O40&gt;0.1492537,G11*(O40-0.05)," "))</f>
        <v xml:space="preserve"> </v>
      </c>
      <c r="O41" s="98"/>
      <c r="P41" s="99" t="str">
        <f>IF($E$6&gt;3600000," ",IF(O40&gt;0.1492537,O40-0.05," "))</f>
        <v xml:space="preserve"> </v>
      </c>
      <c r="Q41" s="122"/>
      <c r="R41" s="129"/>
      <c r="S41" s="131"/>
    </row>
    <row r="42" spans="1:19" x14ac:dyDescent="0.25">
      <c r="A42" s="122"/>
      <c r="B42" s="122"/>
      <c r="C42" s="122"/>
      <c r="D42" s="122"/>
      <c r="E42" s="122"/>
      <c r="F42" s="122"/>
      <c r="G42" s="129"/>
      <c r="H42" s="129"/>
      <c r="I42" s="129"/>
      <c r="J42" s="129"/>
      <c r="K42" s="129"/>
      <c r="M42" s="2" t="s">
        <v>93</v>
      </c>
      <c r="N42" s="44">
        <f>IF($E$6&gt;3600000,N40*O42,IF(O40&gt;0.1492537,N41*P42,N40*O42))</f>
        <v>16.68</v>
      </c>
      <c r="O42" s="168">
        <f>IF($E$6&gt;3600000,LOOKUP($E$6,'3 Tabelas Simples Nacional 2018'!$A$2:$A$7,'3 Tabelas Simples Nacional 2018'!Y2:Y7),IF(O40&gt;0.1492537,N42/N40,LOOKUP($E$6,'3 Tabelas Simples Nacional 2018'!$A$2:$A$7,'3 Tabelas Simples Nacional 2018'!Y2:Y7)))</f>
        <v>2.7799999999999998E-2</v>
      </c>
      <c r="P42" s="69" t="str">
        <f>IF($E$6&gt;3600000," ",IF(O40&gt;0.1492537,'3 Tabelas Simples Nacional 2018'!Y10," "))</f>
        <v xml:space="preserve"> </v>
      </c>
      <c r="Q42" s="122"/>
      <c r="R42" s="129"/>
      <c r="S42" s="131"/>
    </row>
    <row r="43" spans="1:19" x14ac:dyDescent="0.25">
      <c r="A43" s="122"/>
      <c r="B43" s="122"/>
      <c r="C43" s="122"/>
      <c r="D43" s="122"/>
      <c r="E43" s="122"/>
      <c r="F43" s="122"/>
      <c r="G43" s="129"/>
      <c r="H43" s="129"/>
      <c r="I43" s="129"/>
      <c r="J43" s="129"/>
      <c r="K43" s="129"/>
      <c r="M43" s="2" t="s">
        <v>94</v>
      </c>
      <c r="N43" s="44">
        <f>IF($E$6&gt;3600000,N40*O43,IF(O40&gt;0.1492537,N41*P43,N40*O43))</f>
        <v>76.92</v>
      </c>
      <c r="O43" s="168">
        <f>IF($E$6&gt;3600000,LOOKUP($E$6,'3 Tabelas Simples Nacional 2018'!$A$2:$A$7,'3 Tabelas Simples Nacional 2018'!X2:X7),IF(O40&gt;0.1492537,N43/N40,LOOKUP($E$6,'3 Tabelas Simples Nacional 2018'!$A$2:$A$7,'3 Tabelas Simples Nacional 2018'!X2:X7)))</f>
        <v>0.12820000000000001</v>
      </c>
      <c r="P43" s="69" t="str">
        <f>IF($E$6&gt;3600000," ",IF(O40&gt;0.1492537,'3 Tabelas Simples Nacional 2018'!X10," "))</f>
        <v xml:space="preserve"> </v>
      </c>
      <c r="Q43" s="122"/>
      <c r="R43" s="129"/>
      <c r="S43" s="131"/>
    </row>
    <row r="44" spans="1:19" x14ac:dyDescent="0.25">
      <c r="A44" s="122"/>
      <c r="B44" s="122"/>
      <c r="C44" s="122"/>
      <c r="D44" s="122"/>
      <c r="E44" s="122"/>
      <c r="F44" s="122"/>
      <c r="G44" s="129"/>
      <c r="H44" s="129"/>
      <c r="I44" s="129"/>
      <c r="J44" s="129"/>
      <c r="K44" s="129"/>
      <c r="M44" s="2" t="s">
        <v>1</v>
      </c>
      <c r="N44" s="44">
        <f>IF($E$6&gt;3600000,N40*O44,IF(O40&gt;0.1492537,N41*P44,N40*O44))</f>
        <v>24</v>
      </c>
      <c r="O44" s="168">
        <f>IF($E$6&gt;3600000,LOOKUP($E$6,'3 Tabelas Simples Nacional 2018'!$A$2:$A$7,'3 Tabelas Simples Nacional 2018'!V2:V7),IF(O40&gt;0.1492537,N44/N40,LOOKUP($E$6,'3 Tabelas Simples Nacional 2018'!$A$2:$A$7,'3 Tabelas Simples Nacional 2018'!V2:V7)))</f>
        <v>0.04</v>
      </c>
      <c r="P44" s="69" t="str">
        <f>IF($E$6&gt;3600000," ",IF(O40&gt;0.1492537,'3 Tabelas Simples Nacional 2018'!V10," "))</f>
        <v xml:space="preserve"> </v>
      </c>
      <c r="Q44" s="122"/>
      <c r="R44" s="129"/>
      <c r="S44" s="131"/>
    </row>
    <row r="45" spans="1:19" x14ac:dyDescent="0.25">
      <c r="A45" s="122"/>
      <c r="B45" s="122"/>
      <c r="C45" s="122"/>
      <c r="D45" s="122"/>
      <c r="E45" s="122"/>
      <c r="F45" s="122"/>
      <c r="G45" s="129"/>
      <c r="H45" s="129"/>
      <c r="I45" s="129"/>
      <c r="J45" s="129"/>
      <c r="K45" s="129"/>
      <c r="M45" s="2" t="s">
        <v>92</v>
      </c>
      <c r="N45" s="44">
        <f>IF($E$6&gt;3600000,N40*O45,IF(O40&gt;0.1492537,N41*P45,N40*O45))</f>
        <v>21.000000000000004</v>
      </c>
      <c r="O45" s="168">
        <f>IF($E$6&gt;3600000,LOOKUP($E$6,'3 Tabelas Simples Nacional 2018'!$A$2:$A$7,'3 Tabelas Simples Nacional 2018'!W2:W7),IF(O40&gt;0.1492537,N45/N40,LOOKUP($E$6,'3 Tabelas Simples Nacional 2018'!$A$2:$A$7,'3 Tabelas Simples Nacional 2018'!W2:W7)))</f>
        <v>3.5000000000000003E-2</v>
      </c>
      <c r="P45" s="69" t="str">
        <f>IF($E$6&gt;3600000," ",IF(O40&gt;0.1492537,'3 Tabelas Simples Nacional 2018'!W10," "))</f>
        <v xml:space="preserve"> </v>
      </c>
      <c r="Q45" s="122"/>
      <c r="R45" s="129"/>
      <c r="S45" s="131"/>
    </row>
    <row r="46" spans="1:19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M46" s="2" t="s">
        <v>96</v>
      </c>
      <c r="N46" s="44">
        <f>IF($E$6&gt;3600000,N40*O46,IF(O40&gt;0.1492537,N41*P46,N40*O46))</f>
        <v>260.39999999999998</v>
      </c>
      <c r="O46" s="168">
        <f>IF($E$6&gt;3600000,LOOKUP($E$6,'3 Tabelas Simples Nacional 2018'!$A$2:$A$7,'3 Tabelas Simples Nacional 2018'!Z2:Z7),IF(O40&gt;0.1492537,N46/N40,LOOKUP($E$6,'3 Tabelas Simples Nacional 2018'!$A$2:$A$7,'3 Tabelas Simples Nacional 2018'!Z2:Z7)))</f>
        <v>0.434</v>
      </c>
      <c r="P46" s="69" t="str">
        <f>IF($E$6&gt;3600000," ",IF(O40&gt;0.1492537,'3 Tabelas Simples Nacional 2018'!Z10," "))</f>
        <v xml:space="preserve"> </v>
      </c>
      <c r="Q46" s="122"/>
      <c r="R46" s="122"/>
      <c r="S46" s="122"/>
    </row>
    <row r="47" spans="1:19" x14ac:dyDescent="0.25">
      <c r="A47" s="122"/>
      <c r="B47" s="122"/>
      <c r="C47" s="122"/>
      <c r="D47" s="122"/>
      <c r="E47" s="122"/>
      <c r="F47" s="122"/>
      <c r="G47" s="136"/>
      <c r="H47" s="136"/>
      <c r="I47" s="137"/>
      <c r="J47" s="129"/>
      <c r="K47" s="129"/>
      <c r="M47" s="333" t="str">
        <f>IF($E$6&gt;3600000,"Faturamento Acima de R$ 3.600.000,00 - ISS à parte:",IF(O40&gt;0.1492537,"ISS Limitado a 5% do Faturamento","Faturamento Abaixo de R$ 3.600.000,00 - Repartição no DAS:"))</f>
        <v>Faturamento Abaixo de R$ 3.600.000,00 - Repartição no DAS:</v>
      </c>
      <c r="N47" s="333"/>
      <c r="O47" s="333"/>
      <c r="Q47" s="122"/>
      <c r="R47" s="122"/>
      <c r="S47" s="122"/>
    </row>
    <row r="48" spans="1:19" ht="17.25" x14ac:dyDescent="0.3">
      <c r="B48" s="23"/>
      <c r="C48" s="23"/>
      <c r="D48" s="23"/>
      <c r="E48" s="41"/>
      <c r="F48" s="41"/>
      <c r="G48" s="41"/>
      <c r="H48" s="41"/>
      <c r="I48" s="41"/>
      <c r="J48" s="41"/>
      <c r="K48" s="41"/>
      <c r="L48" s="126"/>
      <c r="M48" s="2" t="str">
        <f>IF(E6&gt;3600000,"ISS por fora do DAS","ISS por dentro do DAS")</f>
        <v>ISS por dentro do DAS</v>
      </c>
      <c r="N48" s="44">
        <f>IF($E$6&gt;3600000,G11*$E$16,IF(O40&gt;0.1492537,G11*0.05,N40*O48))</f>
        <v>201</v>
      </c>
      <c r="O48" s="1">
        <f>IF($E$6&gt;3600000,N48/G11,IF(O40&gt;0.1492537,N48/N40,LOOKUP($E$6,'3 Tabelas Simples Nacional 2018'!$A$2:$A$7,'3 Tabelas Simples Nacional 2018'!AA2:AA7)))</f>
        <v>0.33500000000000002</v>
      </c>
    </row>
    <row r="49" spans="2:21" ht="17.25" x14ac:dyDescent="0.3">
      <c r="B49" s="23"/>
      <c r="C49" s="23"/>
      <c r="D49" s="23"/>
      <c r="E49" s="41"/>
      <c r="F49" s="41"/>
      <c r="G49" s="41"/>
      <c r="H49" s="41"/>
      <c r="I49" s="41"/>
      <c r="J49" s="41"/>
      <c r="K49" s="41"/>
      <c r="L49" s="126"/>
    </row>
    <row r="50" spans="2:21" ht="17.25" x14ac:dyDescent="0.3">
      <c r="B50" s="23"/>
      <c r="C50" s="23"/>
      <c r="D50" s="23"/>
      <c r="E50" s="41"/>
      <c r="F50" s="41"/>
      <c r="G50" s="41"/>
      <c r="H50" s="41"/>
      <c r="I50" s="41"/>
      <c r="J50" s="41"/>
      <c r="K50" s="41"/>
      <c r="L50" s="126"/>
      <c r="M50" s="84" t="s">
        <v>134</v>
      </c>
      <c r="N50" s="85">
        <f>IF(E6&gt;3600000,R50,R50-R57)</f>
        <v>0</v>
      </c>
      <c r="O50" s="227" t="e">
        <f>N50/H11</f>
        <v>#DIV/0!</v>
      </c>
      <c r="Q50" s="106" t="s">
        <v>159</v>
      </c>
      <c r="R50" s="107">
        <f>H11*S50</f>
        <v>0</v>
      </c>
      <c r="S50" s="108">
        <f>(($E$6*LOOKUP($E$6,'3 Tabelas Simples Nacional 2018'!$A$2:$A$7,'3 Tabelas Simples Nacional 2018'!T2:T7)-LOOKUP($E$6,'3 Tabelas Simples Nacional 2018'!$A$2:$A$7,'3 Tabelas Simples Nacional 2018'!U2:U7))/$E$6)</f>
        <v>0.06</v>
      </c>
      <c r="U50" s="133"/>
    </row>
    <row r="51" spans="2:21" ht="17.25" x14ac:dyDescent="0.3">
      <c r="B51" s="23"/>
      <c r="C51" s="23"/>
      <c r="D51" s="23"/>
      <c r="E51" s="41"/>
      <c r="F51" s="41"/>
      <c r="G51" s="41"/>
      <c r="H51" s="41"/>
      <c r="I51" s="41"/>
      <c r="J51" s="41"/>
      <c r="K51" s="41"/>
      <c r="L51" s="126"/>
      <c r="M51" s="66"/>
      <c r="N51" s="97"/>
      <c r="O51" s="98"/>
      <c r="P51" s="99"/>
      <c r="Q51" s="109"/>
      <c r="R51" s="104"/>
      <c r="S51" s="105"/>
      <c r="T51" s="134"/>
      <c r="U51" s="133"/>
    </row>
    <row r="52" spans="2:21" ht="17.25" x14ac:dyDescent="0.3">
      <c r="B52" s="23"/>
      <c r="C52" s="23"/>
      <c r="D52" s="23"/>
      <c r="E52" s="41"/>
      <c r="F52" s="41"/>
      <c r="G52" s="41"/>
      <c r="H52" s="41"/>
      <c r="I52" s="41"/>
      <c r="J52" s="41"/>
      <c r="K52" s="41"/>
      <c r="L52" s="126"/>
      <c r="M52" s="2" t="s">
        <v>93</v>
      </c>
      <c r="N52" s="44">
        <f>R52</f>
        <v>0</v>
      </c>
      <c r="O52" s="1" t="e">
        <f>N52/N50</f>
        <v>#DIV/0!</v>
      </c>
      <c r="P52" s="69"/>
      <c r="Q52" s="110" t="s">
        <v>93</v>
      </c>
      <c r="R52" s="111">
        <f>R50*S52</f>
        <v>0</v>
      </c>
      <c r="S52" s="105">
        <f>LOOKUP($E$6,'3 Tabelas Simples Nacional 2018'!$A$2:$A$7,'3 Tabelas Simples Nacional 2018'!Y2:Y7)</f>
        <v>2.7799999999999998E-2</v>
      </c>
      <c r="T52" s="135"/>
    </row>
    <row r="53" spans="2:21" ht="17.25" x14ac:dyDescent="0.3">
      <c r="E53" s="41"/>
      <c r="F53" s="41"/>
      <c r="G53" s="41"/>
      <c r="H53" s="41"/>
      <c r="I53" s="41"/>
      <c r="J53" s="41"/>
      <c r="K53" s="41"/>
      <c r="L53" s="126"/>
      <c r="M53" s="2" t="s">
        <v>94</v>
      </c>
      <c r="N53" s="44">
        <f>R53</f>
        <v>0</v>
      </c>
      <c r="O53" s="1" t="e">
        <f>N53/N50</f>
        <v>#DIV/0!</v>
      </c>
      <c r="P53" s="69"/>
      <c r="Q53" s="110" t="s">
        <v>94</v>
      </c>
      <c r="R53" s="111">
        <f>R50*S53</f>
        <v>0</v>
      </c>
      <c r="S53" s="105">
        <f>LOOKUP($E$6,'3 Tabelas Simples Nacional 2018'!$A$2:$A$7,'3 Tabelas Simples Nacional 2018'!X2:X7)</f>
        <v>0.12820000000000001</v>
      </c>
      <c r="T53" s="135"/>
    </row>
    <row r="54" spans="2:21" ht="17.25" x14ac:dyDescent="0.3">
      <c r="B54" s="21"/>
      <c r="C54" s="21"/>
      <c r="D54" s="21"/>
      <c r="E54" s="41"/>
      <c r="F54" s="41"/>
      <c r="G54" s="41"/>
      <c r="H54" s="41"/>
      <c r="I54" s="41"/>
      <c r="J54" s="41"/>
      <c r="K54" s="41"/>
      <c r="L54" s="126"/>
      <c r="M54" s="2" t="s">
        <v>1</v>
      </c>
      <c r="N54" s="44">
        <f>R54</f>
        <v>0</v>
      </c>
      <c r="O54" s="1" t="e">
        <f>N54/N50</f>
        <v>#DIV/0!</v>
      </c>
      <c r="P54" s="69"/>
      <c r="Q54" s="110" t="s">
        <v>1</v>
      </c>
      <c r="R54" s="111">
        <f>R50*S54</f>
        <v>0</v>
      </c>
      <c r="S54" s="105">
        <f>LOOKUP($E$6,'3 Tabelas Simples Nacional 2018'!$A$2:$A$7,'3 Tabelas Simples Nacional 2018'!V2:V7)</f>
        <v>0.04</v>
      </c>
      <c r="T54" s="135"/>
    </row>
    <row r="55" spans="2:21" ht="17.25" x14ac:dyDescent="0.3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126"/>
      <c r="M55" s="2" t="s">
        <v>92</v>
      </c>
      <c r="N55" s="44">
        <f>R55</f>
        <v>0</v>
      </c>
      <c r="O55" s="1" t="e">
        <f>N55/N50</f>
        <v>#DIV/0!</v>
      </c>
      <c r="P55" s="69"/>
      <c r="Q55" s="110" t="s">
        <v>92</v>
      </c>
      <c r="R55" s="111">
        <f>R50*S55</f>
        <v>0</v>
      </c>
      <c r="S55" s="105">
        <f>LOOKUP($E$6,'3 Tabelas Simples Nacional 2018'!$A$2:$A$7,'3 Tabelas Simples Nacional 2018'!W2:W7)</f>
        <v>3.5000000000000003E-2</v>
      </c>
      <c r="T55" s="135"/>
    </row>
    <row r="56" spans="2:21" ht="17.25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126"/>
      <c r="M56" s="2" t="s">
        <v>96</v>
      </c>
      <c r="N56" s="44">
        <f>R56</f>
        <v>0</v>
      </c>
      <c r="O56" s="1" t="e">
        <f>N56/N50</f>
        <v>#DIV/0!</v>
      </c>
      <c r="P56" s="69"/>
      <c r="Q56" s="110" t="s">
        <v>96</v>
      </c>
      <c r="R56" s="111">
        <f>R50*S56</f>
        <v>0</v>
      </c>
      <c r="S56" s="105">
        <f>LOOKUP($E$6,'3 Tabelas Simples Nacional 2018'!$A$2:$A$7,'3 Tabelas Simples Nacional 2018'!Z2:Z7)</f>
        <v>0.434</v>
      </c>
      <c r="T56" s="135"/>
    </row>
    <row r="57" spans="2:21" ht="17.25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126"/>
      <c r="Q57" s="110" t="s">
        <v>2</v>
      </c>
      <c r="R57" s="112">
        <f>R50*S57</f>
        <v>0</v>
      </c>
      <c r="S57" s="105">
        <f>LOOKUP($E$6,'3 Tabelas Simples Nacional 2018'!$A$2:$A$7,'3 Tabelas Simples Nacional 2018'!AA2:AA7)</f>
        <v>0.33500000000000002</v>
      </c>
    </row>
    <row r="58" spans="2:21" ht="17.25" x14ac:dyDescent="0.3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26"/>
      <c r="M58" s="84" t="s">
        <v>167</v>
      </c>
      <c r="N58" s="85">
        <f>I11*O58</f>
        <v>0</v>
      </c>
      <c r="O58" s="86">
        <f>(($E$6*LOOKUP($E$6,'3 Tabelas Simples Nacional 2018'!$A$2:$A$7,'3 Tabelas Simples Nacional 2018'!AB2:AB7)-LOOKUP($E$6,'3 Tabelas Simples Nacional 2018'!$A$2:$A$7,'3 Tabelas Simples Nacional 2018'!AC2:AC7))/$E$6)</f>
        <v>4.4999999999999998E-2</v>
      </c>
    </row>
    <row r="59" spans="2:21" ht="17.25" x14ac:dyDescent="0.3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126"/>
      <c r="M59" s="66" t="str">
        <f>IF($E$6&gt;3600000," ",IF(O58&gt;0.125,"Anexo III sem ISS para repartir"," "))</f>
        <v xml:space="preserve"> </v>
      </c>
      <c r="N59" s="97" t="str">
        <f>IF($E$6&gt;3600000," ",IF(O58&gt;0.125,I11*(O58-0.05)," "))</f>
        <v xml:space="preserve"> </v>
      </c>
      <c r="O59" s="98"/>
      <c r="P59" s="99" t="str">
        <f>IF($E$6&gt;3600000," ",IF(O58&gt;0.125,O58-0.05," "))</f>
        <v xml:space="preserve"> </v>
      </c>
    </row>
    <row r="60" spans="2:21" ht="17.25" x14ac:dyDescent="0.3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126"/>
      <c r="M60" s="2" t="s">
        <v>93</v>
      </c>
      <c r="N60" s="44">
        <f>IF($E$6&gt;3600000,N58*O60,IF(O58&gt;0.125,N59*P60,N58*O60))</f>
        <v>0</v>
      </c>
      <c r="O60" s="1">
        <f>IF($E$6&gt;3600000,LOOKUP($E$6,'3 Tabelas Simples Nacional 2018'!$A$2:$A$7,'3 Tabelas Simples Nacional 2018'!AG2:AG7),IF(O58&gt;0.125,N60/N58,LOOKUP($E$6,'3 Tabelas Simples Nacional 2018'!$A$2:$A$7,'3 Tabelas Simples Nacional 2018'!AG2:AG7)))</f>
        <v>3.8300000000000001E-2</v>
      </c>
      <c r="P60" s="69" t="str">
        <f>IF($E$6&gt;3600000," ",IF(O58&gt;0.125,'3 Tabelas Simples Nacional 2018'!AG10," "))</f>
        <v xml:space="preserve"> </v>
      </c>
    </row>
    <row r="61" spans="2:21" ht="17.25" x14ac:dyDescent="0.3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26"/>
      <c r="M61" s="2" t="s">
        <v>94</v>
      </c>
      <c r="N61" s="44">
        <f>IF($E$6&gt;3600000,N58*O61,IF(O58&gt;0.125,N59*P61,N58*O61))</f>
        <v>0</v>
      </c>
      <c r="O61" s="1">
        <f>IF($E$6&gt;3600000,LOOKUP($E$6,'3 Tabelas Simples Nacional 2018'!$A$2:$A$7,'3 Tabelas Simples Nacional 2018'!AF2:AF7),IF(O58&gt;0.125,N61/N58,LOOKUP($E$6,'3 Tabelas Simples Nacional 2018'!$A$2:$A$7,'3 Tabelas Simples Nacional 2018'!AF2:AF7)))</f>
        <v>0.1767</v>
      </c>
      <c r="P61" s="69" t="str">
        <f>IF($E$6&gt;3600000," ",IF(O58&gt;0.125,'3 Tabelas Simples Nacional 2018'!AF10," "))</f>
        <v xml:space="preserve"> </v>
      </c>
    </row>
    <row r="62" spans="2:21" ht="17.25" x14ac:dyDescent="0.3">
      <c r="B62" s="41"/>
      <c r="C62" s="41"/>
      <c r="D62" s="41"/>
      <c r="E62" s="78"/>
      <c r="F62" s="78"/>
      <c r="G62" s="78"/>
      <c r="H62" s="78"/>
      <c r="I62" s="78"/>
      <c r="J62" s="78"/>
      <c r="K62" s="78"/>
      <c r="L62" s="127"/>
      <c r="M62" s="2" t="s">
        <v>1</v>
      </c>
      <c r="N62" s="44">
        <f>IF($E$6&gt;3600000,N58*O62,IF(O58&gt;0.125,N59*P62,N58*O62))</f>
        <v>0</v>
      </c>
      <c r="O62" s="1">
        <f>IF($E$6&gt;3600000,LOOKUP($E$6,'3 Tabelas Simples Nacional 2018'!$A$2:$A$7,'3 Tabelas Simples Nacional 2018'!AD2:AD7),IF(O58&gt;0.125,N62/N58,LOOKUP($E$6,'3 Tabelas Simples Nacional 2018'!$A$2:$A$7,'3 Tabelas Simples Nacional 2018'!AD2:AD7)))</f>
        <v>0.188</v>
      </c>
      <c r="P62" s="69" t="str">
        <f>IF($E$6&gt;3600000," ",IF(O58&gt;0.125,'3 Tabelas Simples Nacional 2018'!AD10," "))</f>
        <v xml:space="preserve"> </v>
      </c>
      <c r="Q62" s="41"/>
      <c r="R62" s="41"/>
    </row>
    <row r="63" spans="2:21" ht="17.25" x14ac:dyDescent="0.3">
      <c r="B63" s="41"/>
      <c r="C63" s="41"/>
      <c r="D63" s="41"/>
      <c r="E63" s="78"/>
      <c r="F63" s="78"/>
      <c r="G63" s="78"/>
      <c r="H63" s="78"/>
      <c r="I63" s="78"/>
      <c r="J63" s="78"/>
      <c r="K63" s="78"/>
      <c r="L63" s="127"/>
      <c r="M63" s="2" t="s">
        <v>92</v>
      </c>
      <c r="N63" s="44">
        <f>IF($E$6&gt;3600000,N58*O63,IF(O58&gt;0.125,N59*P63,N58*O63))</f>
        <v>0</v>
      </c>
      <c r="O63" s="1">
        <f>IF($E$6&gt;3600000,LOOKUP($E$6,'3 Tabelas Simples Nacional 2018'!$A$2:$A$7,'3 Tabelas Simples Nacional 2018'!AE2:AE7),IF(O58&gt;0.125,N63/N58,LOOKUP($E$6,'3 Tabelas Simples Nacional 2018'!$A$2:$A$7,'3 Tabelas Simples Nacional 2018'!AE2:AE7)))</f>
        <v>0.152</v>
      </c>
      <c r="P63" s="69" t="str">
        <f>IF($E$6&gt;3600000," ",IF(O58&gt;0.125,'3 Tabelas Simples Nacional 2018'!AE10," "))</f>
        <v xml:space="preserve"> </v>
      </c>
      <c r="Q63" s="41"/>
      <c r="R63" s="41"/>
    </row>
    <row r="64" spans="2:21" ht="17.25" x14ac:dyDescent="0.3">
      <c r="B64" s="41"/>
      <c r="C64" s="41"/>
      <c r="D64" s="41"/>
      <c r="E64" s="78"/>
      <c r="F64" s="78"/>
      <c r="G64" s="78"/>
      <c r="H64" s="78"/>
      <c r="I64" s="78"/>
      <c r="J64" s="78"/>
      <c r="K64" s="78"/>
      <c r="L64" s="127"/>
      <c r="M64" s="2" t="str">
        <f>IF(AND(I15="So Outros Anexos",I11&gt;0),"CPP - So Outros Anexos ",IF(AND(I15="Proporcional",I11&gt;0),"CPP Proporcional",IF(AND(I15="Receita Total",I11&gt;0),"CPP sobre Receita Total","CPP")))</f>
        <v>CPP</v>
      </c>
      <c r="N64" s="44">
        <f>IF(AND(I15="So Outros Anexos",I11&gt;0),0,IF(AND(I15="Proporcional",I11&gt;0),J28*(I11/E10),IF(AND(I15="Receita Total",I11&gt;0),J28,0)))</f>
        <v>0</v>
      </c>
      <c r="P64" s="69"/>
      <c r="Q64" s="41"/>
      <c r="R64" s="41"/>
    </row>
    <row r="65" spans="2:18" ht="17.25" x14ac:dyDescent="0.3">
      <c r="B65" s="41"/>
      <c r="C65" s="41"/>
      <c r="D65" s="41"/>
      <c r="E65" s="78"/>
      <c r="F65" s="78"/>
      <c r="G65" s="78"/>
      <c r="H65" s="78"/>
      <c r="I65" s="78"/>
      <c r="J65" s="78"/>
      <c r="K65" s="78"/>
      <c r="L65" s="126"/>
      <c r="M65" s="333" t="str">
        <f>IF($E$6&gt;3600000,"Faturamento Acima de R$ 3.600.000,00 - ISS à parte:",IF(O58&gt;0.125,"ISS Limitado a 5% do Faturamento","Faturamento Abaixo de R$ 3.600.000,00 - Repartição no DAS:"))</f>
        <v>Faturamento Abaixo de R$ 3.600.000,00 - Repartição no DAS:</v>
      </c>
      <c r="N65" s="333"/>
      <c r="O65" s="333"/>
      <c r="P65" s="69"/>
      <c r="Q65" s="41"/>
      <c r="R65" s="41"/>
    </row>
    <row r="66" spans="2:18" ht="17.25" x14ac:dyDescent="0.3">
      <c r="B66" s="41"/>
      <c r="C66" s="41"/>
      <c r="D66" s="41"/>
      <c r="E66" s="78"/>
      <c r="F66" s="78"/>
      <c r="G66" s="78"/>
      <c r="H66" s="78"/>
      <c r="I66" s="78"/>
      <c r="J66" s="78"/>
      <c r="K66" s="78"/>
      <c r="L66" s="127"/>
      <c r="M66" s="2" t="str">
        <f>IF(E6&gt;3600000,"ISS por fora do DAS","ISS por dentro do DAS")</f>
        <v>ISS por dentro do DAS</v>
      </c>
      <c r="N66" s="44">
        <f>IF($E$6&gt;3600000,I11*$E$16,IF(O58&gt;0.125,I11*0.05,N58*O66))</f>
        <v>0</v>
      </c>
      <c r="O66" s="1">
        <f>IF($E$6&gt;3600000,N66/I11,IF(O58&gt;0.125,N66/N58,LOOKUP($E$6,'3 Tabelas Simples Nacional 2018'!$A$2:$A$7,'3 Tabelas Simples Nacional 2018'!AH2:AH7)))</f>
        <v>0.44500000000000001</v>
      </c>
      <c r="Q66" s="78"/>
      <c r="R66" s="78"/>
    </row>
    <row r="67" spans="2:18" ht="17.25" x14ac:dyDescent="0.3">
      <c r="B67" s="41"/>
      <c r="C67" s="41"/>
      <c r="D67" s="41"/>
      <c r="E67" s="78"/>
      <c r="F67" s="78"/>
      <c r="G67" s="78"/>
      <c r="H67" s="41"/>
      <c r="I67" s="41"/>
      <c r="J67" s="41"/>
      <c r="K67" s="41"/>
      <c r="L67" s="126"/>
      <c r="M67" s="41"/>
      <c r="N67" s="41"/>
      <c r="O67" s="21"/>
      <c r="P67" s="51" t="s">
        <v>11</v>
      </c>
      <c r="Q67" s="41"/>
      <c r="R67" s="41"/>
    </row>
    <row r="68" spans="2:18" x14ac:dyDescent="0.25">
      <c r="M68" s="84" t="s">
        <v>169</v>
      </c>
      <c r="N68" s="85">
        <f>IF(K6&lt;0.28,0,J11*O68)</f>
        <v>0</v>
      </c>
      <c r="O68" s="86">
        <f>(($E$6*LOOKUP($E$6,'3 Tabelas Simples Nacional 2018'!$A$2:$A$7,'3 Tabelas Simples Nacional 2018'!T2:T7)-LOOKUP($E$6,'3 Tabelas Simples Nacional 2018'!$A$2:$A$7,'3 Tabelas Simples Nacional 2018'!U2:U7))/$E$6)</f>
        <v>0.06</v>
      </c>
      <c r="P68" s="113">
        <f>K6</f>
        <v>0.28011111111111109</v>
      </c>
      <c r="Q68" s="66"/>
    </row>
    <row r="69" spans="2:18" x14ac:dyDescent="0.25">
      <c r="M69" s="66" t="str">
        <f>IF($E$6&gt;3600000," ",IF(O68&gt;0.1492537,"Anexo III sem ISS para repartir"," "))</f>
        <v xml:space="preserve"> </v>
      </c>
      <c r="N69" s="97" t="str">
        <f>IF(K6&lt;0.28,0,IF($E$6&gt;3600000," ",IF(O68&gt;0.1492537,J11*(O68-0.05)," ")))</f>
        <v xml:space="preserve"> </v>
      </c>
      <c r="O69" s="98"/>
      <c r="P69" s="99" t="str">
        <f>IF($E$6&gt;3600000," ",IF(O68&gt;0.1492537,O68-0.05," "))</f>
        <v xml:space="preserve"> </v>
      </c>
    </row>
    <row r="70" spans="2:18" x14ac:dyDescent="0.25">
      <c r="M70" s="2" t="s">
        <v>93</v>
      </c>
      <c r="N70" s="44">
        <f>IF($E$6&gt;3600000,N68*O70,IF(O68&gt;0.1492537,N69*P70,N68*O70))</f>
        <v>0</v>
      </c>
      <c r="O70" s="1">
        <f>IF($E$6&gt;3600000,LOOKUP($E$6,'3 Tabelas Simples Nacional 2018'!$A$2:$A$7,'3 Tabelas Simples Nacional 2018'!Y2:Y7),IF(O68&gt;0.1492537,N70/N68,LOOKUP($E$6,'3 Tabelas Simples Nacional 2018'!$A$2:$A$7,'3 Tabelas Simples Nacional 2018'!Y2:Y7)))</f>
        <v>2.7799999999999998E-2</v>
      </c>
      <c r="P70" s="69" t="str">
        <f>IF($E$6&gt;3600000," ",IF(O68&gt;0.1492537,'3 Tabelas Simples Nacional 2018'!Y10," "))</f>
        <v xml:space="preserve"> </v>
      </c>
    </row>
    <row r="71" spans="2:18" x14ac:dyDescent="0.25">
      <c r="M71" s="2" t="s">
        <v>94</v>
      </c>
      <c r="N71" s="44">
        <f>IF($E$6&gt;3600000,N68*O71,IF(O68&gt;0.1492537,N69*P71,N68*O71))</f>
        <v>0</v>
      </c>
      <c r="O71" s="1">
        <f>IF($E$6&gt;3600000,LOOKUP($E$6,'3 Tabelas Simples Nacional 2018'!$A$2:$A$7,'3 Tabelas Simples Nacional 2018'!X2:X7),IF(O68&gt;0.1492537,N71/N68,LOOKUP($E$6,'3 Tabelas Simples Nacional 2018'!$A$2:$A$7,'3 Tabelas Simples Nacional 2018'!X2:X7)))</f>
        <v>0.12820000000000001</v>
      </c>
      <c r="P71" s="69" t="str">
        <f>IF($E$6&gt;3600000," ",IF(O68&gt;0.1492537,'3 Tabelas Simples Nacional 2018'!X10," "))</f>
        <v xml:space="preserve"> </v>
      </c>
    </row>
    <row r="72" spans="2:18" x14ac:dyDescent="0.25">
      <c r="M72" s="2" t="s">
        <v>1</v>
      </c>
      <c r="N72" s="44">
        <f>IF($E$6&gt;3600000,N68*O72,IF(O68&gt;0.1492537,N69*P72,N68*O72))</f>
        <v>0</v>
      </c>
      <c r="O72" s="1">
        <f>IF($E$6&gt;3600000,LOOKUP($E$6,'3 Tabelas Simples Nacional 2018'!$A$2:$A$7,'3 Tabelas Simples Nacional 2018'!V2:V7),IF(O68&gt;0.1492537,N72/N68,LOOKUP($E$6,'3 Tabelas Simples Nacional 2018'!$A$2:$A$7,'3 Tabelas Simples Nacional 2018'!V2:V7)))</f>
        <v>0.04</v>
      </c>
      <c r="P72" s="69" t="str">
        <f>IF($E$6&gt;3600000," ",IF(O68&gt;0.1492537,'3 Tabelas Simples Nacional 2018'!V10," "))</f>
        <v xml:space="preserve"> </v>
      </c>
    </row>
    <row r="73" spans="2:18" x14ac:dyDescent="0.25">
      <c r="M73" s="2" t="s">
        <v>92</v>
      </c>
      <c r="N73" s="44">
        <f>IF($E$6&gt;3600000,N68*O73,IF(O68&gt;0.1492537,N69*P73,N68*O73))</f>
        <v>0</v>
      </c>
      <c r="O73" s="1">
        <f>IF($E$6&gt;3600000,LOOKUP($E$6,'3 Tabelas Simples Nacional 2018'!$A$2:$A$7,'3 Tabelas Simples Nacional 2018'!W2:W7),IF(O68&gt;0.1492537,N73/N68,LOOKUP($E$6,'3 Tabelas Simples Nacional 2018'!$A$2:$A$7,'3 Tabelas Simples Nacional 2018'!W2:W7)))</f>
        <v>3.5000000000000003E-2</v>
      </c>
      <c r="P73" s="69" t="str">
        <f>IF($E$6&gt;3600000," ",IF(O68&gt;0.1492537,'3 Tabelas Simples Nacional 2018'!W10," "))</f>
        <v xml:space="preserve"> </v>
      </c>
    </row>
    <row r="74" spans="2:18" x14ac:dyDescent="0.25">
      <c r="M74" s="2" t="s">
        <v>96</v>
      </c>
      <c r="N74" s="44">
        <f>IF($E$6&gt;3600000,N68*O74,IF(O68&gt;0.1492537,N69*P74,N68*O74))</f>
        <v>0</v>
      </c>
      <c r="O74" s="1">
        <f>IF($E$6&gt;3600000,LOOKUP($E$6,'3 Tabelas Simples Nacional 2018'!$A$2:$A$7,'3 Tabelas Simples Nacional 2018'!Z2:Z7),IF(O68&gt;0.1492537,N74/N68,LOOKUP($E$6,'3 Tabelas Simples Nacional 2018'!$A$2:$A$7,'3 Tabelas Simples Nacional 2018'!Z2:Z7)))</f>
        <v>0.434</v>
      </c>
      <c r="P74" s="69" t="str">
        <f>IF($E$6&gt;3600000," ",IF(O68&gt;0.1492537,'3 Tabelas Simples Nacional 2018'!Z10," "))</f>
        <v xml:space="preserve"> </v>
      </c>
    </row>
    <row r="75" spans="2:18" x14ac:dyDescent="0.25">
      <c r="M75" s="333" t="str">
        <f>IF($E$6&gt;3600000,"Faturamento Acima de R$ 3.600.000,00 - impostos à parte:",IF(O68&gt;0.1492537,"ISS Limitado a 5% do Faturamento","Faturamento Abaixo de R$ 3.600.000,00 - Repartição no DAS:"))</f>
        <v>Faturamento Abaixo de R$ 3.600.000,00 - Repartição no DAS:</v>
      </c>
      <c r="N75" s="333"/>
      <c r="O75" s="333"/>
    </row>
    <row r="76" spans="2:18" x14ac:dyDescent="0.25">
      <c r="M76" s="2" t="str">
        <f>IF(E6&gt;3600000,"ISS por fora do DAS","ISS por dentro do DAS")</f>
        <v>ISS por dentro do DAS</v>
      </c>
      <c r="N76" s="44">
        <f>IF(P68&gt;0.28,IF($E$6&gt;3600000,J11*$E$16,IF(O68&gt;0.1492537,J11*0.05,N68*O76)),0)</f>
        <v>0</v>
      </c>
      <c r="O76" s="1">
        <f>IF($E$6&gt;3600000,N76/J11,IF(O68&gt;0.1492537,N76/N68,LOOKUP($E$6,'3 Tabelas Simples Nacional 2018'!$A$2:$A$7,'3 Tabelas Simples Nacional 2018'!AA2:AA7)))</f>
        <v>0.33500000000000002</v>
      </c>
    </row>
    <row r="77" spans="2:18" x14ac:dyDescent="0.25">
      <c r="N77" s="3"/>
      <c r="P77" s="51" t="s">
        <v>11</v>
      </c>
    </row>
    <row r="78" spans="2:18" x14ac:dyDescent="0.25">
      <c r="M78" s="84" t="s">
        <v>168</v>
      </c>
      <c r="N78" s="85">
        <f>IF(K6&lt;0.28,J11*O78,0)</f>
        <v>0</v>
      </c>
      <c r="O78" s="86">
        <f>(($E$6*LOOKUP($E$6,'3 Tabelas Simples Nacional 2018'!$A$2:$A$7,'3 Tabelas Simples Nacional 2018'!AI2:AI7))-LOOKUP($E$6,'3 Tabelas Simples Nacional 2018'!$A$2:$A$7,'3 Tabelas Simples Nacional 2018'!AJ2:AJ7))/$E$6</f>
        <v>0.155</v>
      </c>
      <c r="P78" s="113">
        <f>K6</f>
        <v>0.28011111111111109</v>
      </c>
    </row>
    <row r="79" spans="2:18" x14ac:dyDescent="0.25">
      <c r="M79" s="2" t="s">
        <v>93</v>
      </c>
      <c r="N79" s="44">
        <f>N78*O79</f>
        <v>0</v>
      </c>
      <c r="O79" s="1">
        <f>LOOKUP($E$6,'3 Tabelas Simples Nacional 2018'!$A$2:$A$7,'3 Tabelas Simples Nacional 2018'!AN2:AN7)</f>
        <v>3.0499999999999999E-2</v>
      </c>
    </row>
    <row r="80" spans="2:18" x14ac:dyDescent="0.25">
      <c r="M80" s="2" t="s">
        <v>94</v>
      </c>
      <c r="N80" s="44">
        <f>N78*O80</f>
        <v>0</v>
      </c>
      <c r="O80" s="1">
        <f>LOOKUP($E$6,'3 Tabelas Simples Nacional 2018'!$A$2:$A$7,'3 Tabelas Simples Nacional 2018'!AM2:AM7)</f>
        <v>0.14099999999999999</v>
      </c>
    </row>
    <row r="81" spans="13:15" x14ac:dyDescent="0.25">
      <c r="M81" s="2" t="s">
        <v>1</v>
      </c>
      <c r="N81" s="44">
        <f>N78*O81</f>
        <v>0</v>
      </c>
      <c r="O81" s="1">
        <f>LOOKUP($E$6,'3 Tabelas Simples Nacional 2018'!$A$2:$A$7,'3 Tabelas Simples Nacional 2018'!AK2:AK7)</f>
        <v>0.25</v>
      </c>
    </row>
    <row r="82" spans="13:15" x14ac:dyDescent="0.25">
      <c r="M82" s="2" t="s">
        <v>92</v>
      </c>
      <c r="N82" s="44">
        <f>N78*O82</f>
        <v>0</v>
      </c>
      <c r="O82" s="1">
        <f>LOOKUP($E$6,'3 Tabelas Simples Nacional 2018'!$A$2:$A$7,'3 Tabelas Simples Nacional 2018'!AL2:AL7)</f>
        <v>0.15</v>
      </c>
    </row>
    <row r="83" spans="13:15" x14ac:dyDescent="0.25">
      <c r="M83" s="2" t="s">
        <v>96</v>
      </c>
      <c r="N83" s="44">
        <f>N78*O83</f>
        <v>0</v>
      </c>
      <c r="O83" s="1">
        <f>LOOKUP($E$6,'3 Tabelas Simples Nacional 2018'!$A$2:$A$7,'3 Tabelas Simples Nacional 2018'!AO2:AO7)</f>
        <v>0.28849999999999998</v>
      </c>
    </row>
    <row r="84" spans="13:15" x14ac:dyDescent="0.25">
      <c r="M84" s="333" t="str">
        <f>IF($E$6&gt;3600000,"Faturamento Acima de R$ 3.600.000,00 - ICMS à parte:","Faturamento Abaixo de R$ 3.600.000,00 - Repartição no DAS:")</f>
        <v>Faturamento Abaixo de R$ 3.600.000,00 - Repartição no DAS:</v>
      </c>
      <c r="N84" s="333"/>
      <c r="O84" s="333"/>
    </row>
    <row r="85" spans="13:15" x14ac:dyDescent="0.25">
      <c r="M85" s="2" t="str">
        <f>IF(E6&gt;3600000,"ISS por fora do DAS","ISS por dentro do DAS")</f>
        <v>ISS por dentro do DAS</v>
      </c>
      <c r="N85" s="44">
        <f>IF(P78&lt;0.28,IF($E$6&gt;3600000,J11*$E$16,N78*O85),0)</f>
        <v>0</v>
      </c>
      <c r="O85" s="1">
        <f>IF($E$6&gt;3600000,N85/J11,LOOKUP($E$6,'3 Tabelas Simples Nacional 2018'!$A$2:$A$7,'3 Tabelas Simples Nacional 2018'!AP2:AP7))</f>
        <v>0.14000000000000001</v>
      </c>
    </row>
  </sheetData>
  <mergeCells count="35">
    <mergeCell ref="M84:O84"/>
    <mergeCell ref="A17:D17"/>
    <mergeCell ref="M75:O75"/>
    <mergeCell ref="M47:O47"/>
    <mergeCell ref="M65:O65"/>
    <mergeCell ref="M37:O37"/>
    <mergeCell ref="I21:K21"/>
    <mergeCell ref="M19:O19"/>
    <mergeCell ref="F36:G37"/>
    <mergeCell ref="H36:H37"/>
    <mergeCell ref="I36:K37"/>
    <mergeCell ref="B21:B41"/>
    <mergeCell ref="C21:C41"/>
    <mergeCell ref="E36:E37"/>
    <mergeCell ref="A21:A41"/>
    <mergeCell ref="M27:O27"/>
    <mergeCell ref="M1:S1"/>
    <mergeCell ref="M5:O5"/>
    <mergeCell ref="Q5:S5"/>
    <mergeCell ref="E6:J6"/>
    <mergeCell ref="E10:J10"/>
    <mergeCell ref="A1:K1"/>
    <mergeCell ref="E21:G21"/>
    <mergeCell ref="Q19:S19"/>
    <mergeCell ref="A3:K3"/>
    <mergeCell ref="M3:S3"/>
    <mergeCell ref="A19:K19"/>
    <mergeCell ref="A14:K14"/>
    <mergeCell ref="A15:D15"/>
    <mergeCell ref="A16:D16"/>
    <mergeCell ref="A12:D12"/>
    <mergeCell ref="A11:D11"/>
    <mergeCell ref="A10:D10"/>
    <mergeCell ref="A7:D7"/>
    <mergeCell ref="A6:D6"/>
  </mergeCells>
  <conditionalFormatting sqref="M27">
    <cfRule type="expression" dxfId="8" priority="16">
      <formula>$E$6&gt;3600000</formula>
    </cfRule>
  </conditionalFormatting>
  <conditionalFormatting sqref="M37">
    <cfRule type="expression" dxfId="7" priority="15">
      <formula>$E$6&gt;3600000</formula>
    </cfRule>
  </conditionalFormatting>
  <conditionalFormatting sqref="M47">
    <cfRule type="expression" dxfId="6" priority="14">
      <formula>OR(($E$6&gt;3600000),(O40&gt;0.1492537))</formula>
    </cfRule>
  </conditionalFormatting>
  <conditionalFormatting sqref="M41:P41 P42:P46 P59:P65 M69:P69 P70:P74">
    <cfRule type="expression" dxfId="5" priority="13">
      <formula>AND(($O$40&gt;0.1492537),($E$6&lt;3600000.01))</formula>
    </cfRule>
  </conditionalFormatting>
  <conditionalFormatting sqref="F36 H36:I36">
    <cfRule type="expression" dxfId="4" priority="12">
      <formula>$F$34&gt;$J$34</formula>
    </cfRule>
  </conditionalFormatting>
  <conditionalFormatting sqref="M65">
    <cfRule type="expression" dxfId="3" priority="7">
      <formula>OR(($E$6&gt;3600000),(O58&gt;0.1492537))</formula>
    </cfRule>
  </conditionalFormatting>
  <conditionalFormatting sqref="M59:O59">
    <cfRule type="expression" dxfId="2" priority="6">
      <formula>AND(($O$58&gt;0.125),($E$6&lt;3600000.01))</formula>
    </cfRule>
  </conditionalFormatting>
  <conditionalFormatting sqref="M75">
    <cfRule type="expression" dxfId="1" priority="4">
      <formula>OR(($E$6&gt;3600000),(O68&gt;0.1492537))</formula>
    </cfRule>
  </conditionalFormatting>
  <conditionalFormatting sqref="M84">
    <cfRule type="expression" dxfId="0" priority="1">
      <formula>$E$6&gt;3600000</formula>
    </cfRule>
  </conditionalFormatting>
  <dataValidations disablePrompts="1" count="3">
    <dataValidation type="list" allowBlank="1" showErrorMessage="1" errorTitle="Informar uma das opções" sqref="I15" xr:uid="{00000000-0002-0000-0400-000000000000}">
      <formula1>"Receita Total,Proporcional,So Outros Anexos"</formula1>
    </dataValidation>
    <dataValidation type="list" allowBlank="1" showInputMessage="1" showErrorMessage="1" sqref="E17" xr:uid="{00000000-0002-0000-0400-000001000000}">
      <formula1>"Serviços 32% LP,Hospitalar 8% LP"</formula1>
    </dataValidation>
    <dataValidation type="list" allowBlank="1" showInputMessage="1" showErrorMessage="1" sqref="G17" xr:uid="{00000000-0002-0000-0400-000002000000}">
      <formula1>"sim,não"</formula1>
    </dataValidation>
  </dataValidations>
  <pageMargins left="0.75" right="0.75" top="1" bottom="1" header="0.5" footer="0.5"/>
  <pageSetup paperSize="9" orientation="landscape" horizontalDpi="4294967292" verticalDpi="429496729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60"/>
  <sheetViews>
    <sheetView workbookViewId="0">
      <selection activeCell="J5" sqref="J5"/>
    </sheetView>
  </sheetViews>
  <sheetFormatPr defaultColWidth="10.875" defaultRowHeight="15.75" x14ac:dyDescent="0.25"/>
  <cols>
    <col min="1" max="2" width="14" bestFit="1" customWidth="1"/>
    <col min="3" max="3" width="11" bestFit="1" customWidth="1"/>
    <col min="4" max="4" width="12" bestFit="1" customWidth="1"/>
    <col min="5" max="11" width="11" bestFit="1" customWidth="1"/>
    <col min="12" max="12" width="12" bestFit="1" customWidth="1"/>
    <col min="13" max="24" width="11" bestFit="1" customWidth="1"/>
    <col min="25" max="25" width="14" bestFit="1" customWidth="1"/>
    <col min="26" max="26" width="11" customWidth="1"/>
    <col min="27" max="42" width="11" bestFit="1" customWidth="1"/>
  </cols>
  <sheetData>
    <row r="1" spans="1:42" ht="31.5" x14ac:dyDescent="0.25">
      <c r="A1" s="345" t="s">
        <v>17</v>
      </c>
      <c r="B1" s="346"/>
      <c r="C1" s="25" t="s">
        <v>13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  <c r="I1" s="25" t="s">
        <v>23</v>
      </c>
      <c r="J1" s="25" t="s">
        <v>24</v>
      </c>
      <c r="K1" s="26" t="s">
        <v>25</v>
      </c>
      <c r="L1" s="26" t="s">
        <v>26</v>
      </c>
      <c r="M1" s="26" t="s">
        <v>27</v>
      </c>
      <c r="N1" s="26" t="s">
        <v>28</v>
      </c>
      <c r="O1" s="26" t="s">
        <v>29</v>
      </c>
      <c r="P1" s="26" t="s">
        <v>30</v>
      </c>
      <c r="Q1" s="26" t="s">
        <v>31</v>
      </c>
      <c r="R1" s="26" t="s">
        <v>32</v>
      </c>
      <c r="S1" s="27" t="s">
        <v>33</v>
      </c>
      <c r="T1" s="28" t="s">
        <v>34</v>
      </c>
      <c r="U1" s="29" t="s">
        <v>35</v>
      </c>
      <c r="V1" s="29" t="s">
        <v>36</v>
      </c>
      <c r="W1" s="29" t="s">
        <v>37</v>
      </c>
      <c r="X1" s="29" t="s">
        <v>38</v>
      </c>
      <c r="Y1" s="29" t="s">
        <v>39</v>
      </c>
      <c r="Z1" s="29" t="s">
        <v>40</v>
      </c>
      <c r="AA1" s="30" t="s">
        <v>41</v>
      </c>
      <c r="AB1" s="31" t="s">
        <v>42</v>
      </c>
      <c r="AC1" s="32" t="s">
        <v>43</v>
      </c>
      <c r="AD1" s="32" t="s">
        <v>44</v>
      </c>
      <c r="AE1" s="32" t="s">
        <v>45</v>
      </c>
      <c r="AF1" s="32" t="s">
        <v>46</v>
      </c>
      <c r="AG1" s="32" t="s">
        <v>47</v>
      </c>
      <c r="AH1" s="33" t="s">
        <v>48</v>
      </c>
      <c r="AI1" s="34" t="s">
        <v>49</v>
      </c>
      <c r="AJ1" s="35" t="s">
        <v>50</v>
      </c>
      <c r="AK1" s="35" t="s">
        <v>51</v>
      </c>
      <c r="AL1" s="35" t="s">
        <v>52</v>
      </c>
      <c r="AM1" s="35" t="s">
        <v>53</v>
      </c>
      <c r="AN1" s="35" t="s">
        <v>54</v>
      </c>
      <c r="AO1" s="35" t="s">
        <v>170</v>
      </c>
      <c r="AP1" s="35" t="s">
        <v>55</v>
      </c>
    </row>
    <row r="2" spans="1:42" ht="17.25" x14ac:dyDescent="0.3">
      <c r="A2" s="6">
        <v>1</v>
      </c>
      <c r="B2" s="7">
        <v>180000</v>
      </c>
      <c r="C2" s="8">
        <v>0.04</v>
      </c>
      <c r="D2" s="9">
        <v>0</v>
      </c>
      <c r="E2" s="10">
        <v>5.5E-2</v>
      </c>
      <c r="F2" s="10">
        <v>3.5000000000000003E-2</v>
      </c>
      <c r="G2" s="10">
        <v>0.12740000000000001</v>
      </c>
      <c r="H2" s="10">
        <v>2.76E-2</v>
      </c>
      <c r="I2" s="10">
        <v>0.41499999999999998</v>
      </c>
      <c r="J2" s="11">
        <v>0.34</v>
      </c>
      <c r="K2" s="12">
        <v>4.4999999999999998E-2</v>
      </c>
      <c r="L2" s="13">
        <v>0</v>
      </c>
      <c r="M2" s="14">
        <v>5.5E-2</v>
      </c>
      <c r="N2" s="10">
        <v>3.5000000000000003E-2</v>
      </c>
      <c r="O2" s="10">
        <v>0.11509999999999999</v>
      </c>
      <c r="P2" s="10">
        <v>2.4899999999999999E-2</v>
      </c>
      <c r="Q2" s="10">
        <v>0.375</v>
      </c>
      <c r="R2" s="10">
        <v>7.4999999999999997E-2</v>
      </c>
      <c r="S2" s="11">
        <v>0.32</v>
      </c>
      <c r="T2" s="12">
        <v>0.06</v>
      </c>
      <c r="U2" s="13">
        <v>0</v>
      </c>
      <c r="V2" s="14">
        <v>0.04</v>
      </c>
      <c r="W2" s="10">
        <v>3.5000000000000003E-2</v>
      </c>
      <c r="X2" s="10">
        <v>0.12820000000000001</v>
      </c>
      <c r="Y2" s="10">
        <v>2.7799999999999998E-2</v>
      </c>
      <c r="Z2" s="10">
        <v>0.434</v>
      </c>
      <c r="AA2" s="15">
        <v>0.33500000000000002</v>
      </c>
      <c r="AB2" s="12">
        <v>4.4999999999999998E-2</v>
      </c>
      <c r="AC2" s="9">
        <v>0</v>
      </c>
      <c r="AD2" s="10">
        <v>0.188</v>
      </c>
      <c r="AE2" s="10">
        <v>0.152</v>
      </c>
      <c r="AF2" s="10">
        <v>0.1767</v>
      </c>
      <c r="AG2" s="10">
        <v>3.8300000000000001E-2</v>
      </c>
      <c r="AH2" s="11">
        <v>0.44500000000000001</v>
      </c>
      <c r="AI2" s="12">
        <v>0.155</v>
      </c>
      <c r="AJ2" s="13">
        <v>0</v>
      </c>
      <c r="AK2" s="14">
        <v>0.25</v>
      </c>
      <c r="AL2" s="10">
        <v>0.15</v>
      </c>
      <c r="AM2" s="10">
        <v>0.14099999999999999</v>
      </c>
      <c r="AN2" s="10">
        <v>3.0499999999999999E-2</v>
      </c>
      <c r="AO2" s="10">
        <v>0.28849999999999998</v>
      </c>
      <c r="AP2" s="10">
        <v>0.14000000000000001</v>
      </c>
    </row>
    <row r="3" spans="1:42" ht="17.25" x14ac:dyDescent="0.3">
      <c r="A3" s="6">
        <v>180000.01</v>
      </c>
      <c r="B3" s="7">
        <v>360000</v>
      </c>
      <c r="C3" s="8">
        <v>7.2999999999999995E-2</v>
      </c>
      <c r="D3" s="9">
        <v>5940</v>
      </c>
      <c r="E3" s="10">
        <v>5.5E-2</v>
      </c>
      <c r="F3" s="10">
        <v>3.5000000000000003E-2</v>
      </c>
      <c r="G3" s="10">
        <v>0.12740000000000001</v>
      </c>
      <c r="H3" s="10">
        <v>2.76E-2</v>
      </c>
      <c r="I3" s="10">
        <v>0.41499999999999998</v>
      </c>
      <c r="J3" s="11">
        <v>0.34</v>
      </c>
      <c r="K3" s="12">
        <v>7.8E-2</v>
      </c>
      <c r="L3" s="13">
        <v>5940</v>
      </c>
      <c r="M3" s="14">
        <v>5.5E-2</v>
      </c>
      <c r="N3" s="10">
        <v>3.5000000000000003E-2</v>
      </c>
      <c r="O3" s="10">
        <v>0.11509999999999999</v>
      </c>
      <c r="P3" s="10">
        <v>2.4899999999999999E-2</v>
      </c>
      <c r="Q3" s="10">
        <v>0.375</v>
      </c>
      <c r="R3" s="10">
        <v>7.4999999999999997E-2</v>
      </c>
      <c r="S3" s="11">
        <v>0.32</v>
      </c>
      <c r="T3" s="12">
        <v>0.112</v>
      </c>
      <c r="U3" s="16">
        <v>9360</v>
      </c>
      <c r="V3" s="10">
        <v>0.04</v>
      </c>
      <c r="W3" s="10">
        <v>3.5000000000000003E-2</v>
      </c>
      <c r="X3" s="10">
        <v>0.14050000000000001</v>
      </c>
      <c r="Y3" s="10">
        <v>3.0499999999999999E-2</v>
      </c>
      <c r="Z3" s="10">
        <v>0.434</v>
      </c>
      <c r="AA3" s="15">
        <v>0.32</v>
      </c>
      <c r="AB3" s="12">
        <v>0.09</v>
      </c>
      <c r="AC3" s="16">
        <v>8100</v>
      </c>
      <c r="AD3" s="10">
        <v>0.19800000000000001</v>
      </c>
      <c r="AE3" s="10">
        <v>0.152</v>
      </c>
      <c r="AF3" s="10">
        <v>0.20549999999999999</v>
      </c>
      <c r="AG3" s="10">
        <v>4.4499999999999998E-2</v>
      </c>
      <c r="AH3" s="11">
        <v>0.4</v>
      </c>
      <c r="AI3" s="12">
        <v>0.18</v>
      </c>
      <c r="AJ3" s="17">
        <v>4500</v>
      </c>
      <c r="AK3" s="14">
        <v>0.23</v>
      </c>
      <c r="AL3" s="10">
        <v>0.15</v>
      </c>
      <c r="AM3" s="10">
        <v>0.14099999999999999</v>
      </c>
      <c r="AN3" s="10">
        <v>3.0499999999999999E-2</v>
      </c>
      <c r="AO3" s="10">
        <v>0.27850000000000003</v>
      </c>
      <c r="AP3" s="10">
        <v>0.17</v>
      </c>
    </row>
    <row r="4" spans="1:42" ht="17.25" x14ac:dyDescent="0.3">
      <c r="A4" s="6">
        <v>360000.01</v>
      </c>
      <c r="B4" s="7">
        <v>720000</v>
      </c>
      <c r="C4" s="8">
        <v>9.5000000000000001E-2</v>
      </c>
      <c r="D4" s="9">
        <v>13860</v>
      </c>
      <c r="E4" s="10">
        <v>5.5E-2</v>
      </c>
      <c r="F4" s="10">
        <v>3.5000000000000003E-2</v>
      </c>
      <c r="G4" s="10">
        <v>0.12740000000000001</v>
      </c>
      <c r="H4" s="10">
        <v>2.76E-2</v>
      </c>
      <c r="I4" s="10">
        <v>0.42</v>
      </c>
      <c r="J4" s="11">
        <v>0.33500000000000002</v>
      </c>
      <c r="K4" s="12">
        <v>0.1</v>
      </c>
      <c r="L4" s="13">
        <v>13860</v>
      </c>
      <c r="M4" s="14">
        <v>5.5E-2</v>
      </c>
      <c r="N4" s="10">
        <v>3.5000000000000003E-2</v>
      </c>
      <c r="O4" s="10">
        <v>0.11509999999999999</v>
      </c>
      <c r="P4" s="10">
        <v>2.4899999999999999E-2</v>
      </c>
      <c r="Q4" s="10">
        <v>0.375</v>
      </c>
      <c r="R4" s="10">
        <v>7.4999999999999997E-2</v>
      </c>
      <c r="S4" s="11">
        <v>0.32</v>
      </c>
      <c r="T4" s="12">
        <v>0.13500000000000001</v>
      </c>
      <c r="U4" s="16">
        <v>17640</v>
      </c>
      <c r="V4" s="10">
        <v>0.04</v>
      </c>
      <c r="W4" s="10">
        <v>3.5000000000000003E-2</v>
      </c>
      <c r="X4" s="10">
        <v>0.13639999999999999</v>
      </c>
      <c r="Y4" s="10">
        <v>2.9600000000000001E-2</v>
      </c>
      <c r="Z4" s="10">
        <v>0.434</v>
      </c>
      <c r="AA4" s="15">
        <v>0.32500000000000001</v>
      </c>
      <c r="AB4" s="12">
        <v>0.10199999999999999</v>
      </c>
      <c r="AC4" s="16">
        <v>12420</v>
      </c>
      <c r="AD4" s="10">
        <v>0.20799999999999999</v>
      </c>
      <c r="AE4" s="10">
        <v>0.152</v>
      </c>
      <c r="AF4" s="10">
        <v>0.1973</v>
      </c>
      <c r="AG4" s="10">
        <v>4.2700000000000002E-2</v>
      </c>
      <c r="AH4" s="11">
        <v>0.4</v>
      </c>
      <c r="AI4" s="12">
        <v>0.19500000000000001</v>
      </c>
      <c r="AJ4" s="17">
        <v>9900</v>
      </c>
      <c r="AK4" s="14">
        <v>0.24</v>
      </c>
      <c r="AL4" s="10">
        <v>0.15</v>
      </c>
      <c r="AM4" s="10">
        <v>0.1492</v>
      </c>
      <c r="AN4" s="10">
        <v>3.2300000000000002E-2</v>
      </c>
      <c r="AO4" s="10">
        <v>0.23849999999999999</v>
      </c>
      <c r="AP4" s="10">
        <v>0.19</v>
      </c>
    </row>
    <row r="5" spans="1:42" ht="17.25" x14ac:dyDescent="0.3">
      <c r="A5" s="6">
        <v>720000.01</v>
      </c>
      <c r="B5" s="7">
        <v>1800000</v>
      </c>
      <c r="C5" s="8">
        <v>0.107</v>
      </c>
      <c r="D5" s="9">
        <v>22500</v>
      </c>
      <c r="E5" s="10">
        <v>5.5E-2</v>
      </c>
      <c r="F5" s="10">
        <v>3.5000000000000003E-2</v>
      </c>
      <c r="G5" s="10">
        <v>0.12740000000000001</v>
      </c>
      <c r="H5" s="10">
        <v>2.76E-2</v>
      </c>
      <c r="I5" s="10">
        <v>0.42</v>
      </c>
      <c r="J5" s="11">
        <v>0.33500000000000002</v>
      </c>
      <c r="K5" s="12">
        <v>0.112</v>
      </c>
      <c r="L5" s="13">
        <v>22500</v>
      </c>
      <c r="M5" s="14">
        <v>5.5E-2</v>
      </c>
      <c r="N5" s="10">
        <v>3.5000000000000003E-2</v>
      </c>
      <c r="O5" s="10">
        <v>0.11509999999999999</v>
      </c>
      <c r="P5" s="10">
        <v>2.4899999999999999E-2</v>
      </c>
      <c r="Q5" s="10">
        <v>0.375</v>
      </c>
      <c r="R5" s="10">
        <v>7.4999999999999997E-2</v>
      </c>
      <c r="S5" s="11">
        <v>0.32</v>
      </c>
      <c r="T5" s="12">
        <v>0.16</v>
      </c>
      <c r="U5" s="16">
        <v>35640</v>
      </c>
      <c r="V5" s="10">
        <v>0.04</v>
      </c>
      <c r="W5" s="10">
        <v>3.5000000000000003E-2</v>
      </c>
      <c r="X5" s="10">
        <v>0.13639999999999999</v>
      </c>
      <c r="Y5" s="10">
        <v>2.9600000000000001E-2</v>
      </c>
      <c r="Z5" s="10">
        <v>0.434</v>
      </c>
      <c r="AA5" s="15">
        <v>0.32500000000000001</v>
      </c>
      <c r="AB5" s="12">
        <v>0.14000000000000001</v>
      </c>
      <c r="AC5" s="16">
        <v>39780</v>
      </c>
      <c r="AD5" s="10">
        <v>0.17799999999999999</v>
      </c>
      <c r="AE5" s="10">
        <v>0.192</v>
      </c>
      <c r="AF5" s="10">
        <v>0.189</v>
      </c>
      <c r="AG5" s="10">
        <v>4.1000000000000002E-2</v>
      </c>
      <c r="AH5" s="11">
        <v>0.4</v>
      </c>
      <c r="AI5" s="12">
        <v>0.20499999999999999</v>
      </c>
      <c r="AJ5" s="17">
        <v>17100</v>
      </c>
      <c r="AK5" s="14">
        <v>0.21</v>
      </c>
      <c r="AL5" s="10">
        <v>0.15</v>
      </c>
      <c r="AM5" s="10">
        <v>0.15740000000000001</v>
      </c>
      <c r="AN5" s="10">
        <v>3.4099999999999998E-2</v>
      </c>
      <c r="AO5" s="10">
        <v>0.23849999999999999</v>
      </c>
      <c r="AP5" s="10">
        <v>0.21</v>
      </c>
    </row>
    <row r="6" spans="1:42" ht="17.25" x14ac:dyDescent="0.3">
      <c r="A6" s="6">
        <v>1800000.01</v>
      </c>
      <c r="B6" s="7">
        <v>3600000</v>
      </c>
      <c r="C6" s="8">
        <v>0.14299999999999999</v>
      </c>
      <c r="D6" s="9">
        <v>87300</v>
      </c>
      <c r="E6" s="10">
        <v>5.5E-2</v>
      </c>
      <c r="F6" s="10">
        <v>3.5000000000000003E-2</v>
      </c>
      <c r="G6" s="10">
        <v>0.12740000000000001</v>
      </c>
      <c r="H6" s="10">
        <v>2.76E-2</v>
      </c>
      <c r="I6" s="10">
        <v>0.42</v>
      </c>
      <c r="J6" s="11">
        <v>0.33500000000000002</v>
      </c>
      <c r="K6" s="12">
        <v>0.14699999999999999</v>
      </c>
      <c r="L6" s="13">
        <v>85500</v>
      </c>
      <c r="M6" s="14">
        <v>5.5E-2</v>
      </c>
      <c r="N6" s="10">
        <v>3.5000000000000003E-2</v>
      </c>
      <c r="O6" s="10">
        <v>0.11509999999999999</v>
      </c>
      <c r="P6" s="10">
        <v>2.4899999999999999E-2</v>
      </c>
      <c r="Q6" s="10">
        <v>0.375</v>
      </c>
      <c r="R6" s="10">
        <v>7.4999999999999997E-2</v>
      </c>
      <c r="S6" s="11">
        <v>0.32</v>
      </c>
      <c r="T6" s="12">
        <v>0.21</v>
      </c>
      <c r="U6" s="16">
        <v>125640</v>
      </c>
      <c r="V6" s="10">
        <v>0.04</v>
      </c>
      <c r="W6" s="10">
        <v>3.5000000000000003E-2</v>
      </c>
      <c r="X6" s="10">
        <v>0.12820000000000001</v>
      </c>
      <c r="Y6" s="10">
        <v>2.7799999999999998E-2</v>
      </c>
      <c r="Z6" s="10">
        <v>0.434</v>
      </c>
      <c r="AA6" s="18">
        <v>0.33500000000000002</v>
      </c>
      <c r="AB6" s="8">
        <v>0.22</v>
      </c>
      <c r="AC6" s="16">
        <v>183780</v>
      </c>
      <c r="AD6" s="10">
        <v>0.188</v>
      </c>
      <c r="AE6" s="10">
        <v>0.192</v>
      </c>
      <c r="AF6" s="10">
        <v>0.18079999999999999</v>
      </c>
      <c r="AG6" s="10">
        <v>3.9199999999999999E-2</v>
      </c>
      <c r="AH6" s="11">
        <v>0.4</v>
      </c>
      <c r="AI6" s="12">
        <v>0.23</v>
      </c>
      <c r="AJ6" s="17">
        <v>62100</v>
      </c>
      <c r="AK6" s="14">
        <v>0.23</v>
      </c>
      <c r="AL6" s="10">
        <v>0.125</v>
      </c>
      <c r="AM6" s="10">
        <v>0.14099999999999999</v>
      </c>
      <c r="AN6" s="10">
        <v>3.0499999999999999E-2</v>
      </c>
      <c r="AO6" s="10">
        <v>0.23849999999999999</v>
      </c>
      <c r="AP6" s="10">
        <v>0.23499999999999999</v>
      </c>
    </row>
    <row r="7" spans="1:42" ht="17.25" x14ac:dyDescent="0.3">
      <c r="A7" s="6">
        <v>3600000.01</v>
      </c>
      <c r="B7" s="7">
        <v>4800000</v>
      </c>
      <c r="C7" s="8">
        <v>0.19</v>
      </c>
      <c r="D7" s="9">
        <v>378000</v>
      </c>
      <c r="E7" s="10">
        <v>0.13500000000000001</v>
      </c>
      <c r="F7" s="10">
        <v>0.1</v>
      </c>
      <c r="G7" s="10">
        <v>0.28270000000000001</v>
      </c>
      <c r="H7" s="10">
        <v>6.13E-2</v>
      </c>
      <c r="I7" s="10">
        <v>0.42099999999999999</v>
      </c>
      <c r="J7" s="13" t="s">
        <v>56</v>
      </c>
      <c r="K7" s="12">
        <v>0.3</v>
      </c>
      <c r="L7" s="13">
        <v>720000</v>
      </c>
      <c r="M7" s="14">
        <v>8.5000000000000006E-2</v>
      </c>
      <c r="N7" s="10">
        <v>7.4999999999999997E-2</v>
      </c>
      <c r="O7" s="10">
        <v>0.20960000000000001</v>
      </c>
      <c r="P7" s="10">
        <v>4.5400000000000003E-2</v>
      </c>
      <c r="Q7" s="10">
        <v>0.23499999999999999</v>
      </c>
      <c r="R7" s="10">
        <v>0.35</v>
      </c>
      <c r="S7" s="13" t="s">
        <v>56</v>
      </c>
      <c r="T7" s="12">
        <v>0.33</v>
      </c>
      <c r="U7" s="16">
        <v>648000</v>
      </c>
      <c r="V7" s="10">
        <v>0.35</v>
      </c>
      <c r="W7" s="10">
        <v>0.15</v>
      </c>
      <c r="X7" s="10">
        <v>0.1603</v>
      </c>
      <c r="Y7" s="10">
        <v>3.4700000000000002E-2</v>
      </c>
      <c r="Z7" s="10">
        <v>0.30499999999999999</v>
      </c>
      <c r="AA7" s="9" t="s">
        <v>56</v>
      </c>
      <c r="AB7" s="8">
        <v>0.33</v>
      </c>
      <c r="AC7" s="16">
        <v>828000</v>
      </c>
      <c r="AD7" s="10">
        <v>0.53500000000000003</v>
      </c>
      <c r="AE7" s="10">
        <v>0.215</v>
      </c>
      <c r="AF7" s="10">
        <v>0.20549999999999999</v>
      </c>
      <c r="AG7" s="10">
        <v>4.4499999999999998E-2</v>
      </c>
      <c r="AH7" s="13" t="s">
        <v>56</v>
      </c>
      <c r="AI7" s="12">
        <v>0.30499999999999999</v>
      </c>
      <c r="AJ7" s="17">
        <v>540000</v>
      </c>
      <c r="AK7" s="14">
        <v>0.35</v>
      </c>
      <c r="AL7" s="10">
        <v>0.155</v>
      </c>
      <c r="AM7" s="10">
        <v>0.16439999999999999</v>
      </c>
      <c r="AN7" s="10">
        <v>3.56E-2</v>
      </c>
      <c r="AO7" s="10">
        <v>0.29499999999999998</v>
      </c>
      <c r="AP7" s="19" t="s">
        <v>57</v>
      </c>
    </row>
    <row r="8" spans="1:42" ht="86.1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7"/>
      <c r="L8" s="36"/>
      <c r="M8" s="36"/>
      <c r="N8" s="36"/>
      <c r="O8" s="36"/>
      <c r="P8" s="36"/>
      <c r="Q8" s="36"/>
      <c r="R8" s="36"/>
      <c r="S8" s="36"/>
      <c r="T8" s="36"/>
      <c r="U8" s="36"/>
      <c r="V8" s="347" t="s">
        <v>84</v>
      </c>
      <c r="W8" s="347"/>
      <c r="X8" s="347"/>
      <c r="Y8" s="347"/>
      <c r="Z8" s="347"/>
      <c r="AA8" s="347"/>
      <c r="AB8" s="36"/>
      <c r="AC8" s="38"/>
      <c r="AD8" s="342" t="s">
        <v>58</v>
      </c>
      <c r="AE8" s="343"/>
      <c r="AF8" s="343"/>
      <c r="AG8" s="343"/>
      <c r="AH8" s="344"/>
      <c r="AI8" s="39"/>
      <c r="AJ8" s="36"/>
      <c r="AK8" s="36"/>
      <c r="AL8" s="36"/>
      <c r="AM8" s="36"/>
      <c r="AN8" s="36"/>
      <c r="AO8" s="36"/>
      <c r="AP8" s="36"/>
    </row>
    <row r="9" spans="1:42" ht="84.95" customHeight="1" x14ac:dyDescent="0.3">
      <c r="A9" s="348" t="s">
        <v>173</v>
      </c>
      <c r="B9" s="348"/>
      <c r="C9" s="43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50" t="s">
        <v>106</v>
      </c>
      <c r="W9" s="50" t="s">
        <v>59</v>
      </c>
      <c r="X9" s="50" t="s">
        <v>60</v>
      </c>
      <c r="Y9" s="50" t="s">
        <v>61</v>
      </c>
      <c r="Z9" s="50" t="s">
        <v>62</v>
      </c>
      <c r="AA9" s="50" t="s">
        <v>63</v>
      </c>
      <c r="AB9" s="20"/>
      <c r="AC9" s="22"/>
      <c r="AD9" s="50" t="s">
        <v>64</v>
      </c>
      <c r="AE9" s="50" t="s">
        <v>65</v>
      </c>
      <c r="AF9" s="50" t="s">
        <v>66</v>
      </c>
      <c r="AG9" s="50" t="s">
        <v>67</v>
      </c>
      <c r="AH9" s="50" t="s">
        <v>63</v>
      </c>
      <c r="AI9" s="20"/>
      <c r="AJ9" s="20"/>
      <c r="AK9" s="20"/>
      <c r="AL9" s="20"/>
      <c r="AM9" s="20"/>
      <c r="AN9" s="20"/>
      <c r="AO9" s="20"/>
      <c r="AP9" s="20"/>
    </row>
    <row r="10" spans="1:42" ht="17.25" x14ac:dyDescent="0.3">
      <c r="A10" s="117" t="s">
        <v>174</v>
      </c>
      <c r="B10" s="117" t="s">
        <v>175</v>
      </c>
      <c r="O10" s="20"/>
      <c r="P10" s="20"/>
      <c r="Q10" s="20"/>
      <c r="R10" s="20"/>
      <c r="S10" s="20"/>
      <c r="T10" s="20"/>
      <c r="U10" s="20"/>
      <c r="V10" s="91">
        <v>6.0199999999999997E-2</v>
      </c>
      <c r="W10" s="92">
        <v>5.2600000000000001E-2</v>
      </c>
      <c r="X10" s="92">
        <v>0.1928</v>
      </c>
      <c r="Y10" s="92">
        <v>4.1799999999999997E-2</v>
      </c>
      <c r="Z10" s="92">
        <v>0.65259999999999996</v>
      </c>
      <c r="AA10" s="93"/>
      <c r="AB10" s="20"/>
      <c r="AC10" s="22"/>
      <c r="AD10" s="101">
        <v>0.31330000000000002</v>
      </c>
      <c r="AE10" s="101">
        <v>0.32</v>
      </c>
      <c r="AF10" s="101">
        <v>0.30130000000000001</v>
      </c>
      <c r="AG10" s="101">
        <v>6.54E-2</v>
      </c>
      <c r="AH10" s="102"/>
      <c r="AI10" s="20"/>
      <c r="AJ10" s="20"/>
      <c r="AK10" s="22"/>
      <c r="AL10" s="22"/>
      <c r="AM10" s="22"/>
      <c r="AN10" s="22"/>
      <c r="AO10" s="24"/>
      <c r="AP10" s="20"/>
    </row>
    <row r="11" spans="1:42" ht="17.25" x14ac:dyDescent="0.3">
      <c r="A11" s="117">
        <v>1</v>
      </c>
      <c r="B11" s="164">
        <v>85.55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7.25" x14ac:dyDescent="0.3">
      <c r="A12" s="117">
        <v>2</v>
      </c>
      <c r="B12" s="164">
        <v>165.1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7.25" x14ac:dyDescent="0.3">
      <c r="A13" s="117">
        <v>3</v>
      </c>
      <c r="B13" s="164">
        <v>247.65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17.25" x14ac:dyDescent="0.3">
      <c r="A14" s="117">
        <v>4</v>
      </c>
      <c r="B14" s="164">
        <v>330.2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7.25" x14ac:dyDescent="0.3">
      <c r="A15" s="117">
        <v>5</v>
      </c>
      <c r="B15" s="164">
        <v>412.74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7.25" x14ac:dyDescent="0.3">
      <c r="A16" s="117">
        <v>6</v>
      </c>
      <c r="B16" s="164">
        <v>536.57000000000005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7.25" x14ac:dyDescent="0.3">
      <c r="A17" s="117">
        <v>7</v>
      </c>
      <c r="B17" s="164">
        <v>660.39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7.25" x14ac:dyDescent="0.3">
      <c r="A18" s="117">
        <v>8</v>
      </c>
      <c r="B18" s="164">
        <v>784.22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7.25" x14ac:dyDescent="0.3">
      <c r="A19" s="117">
        <v>9</v>
      </c>
      <c r="B19" s="164">
        <v>908.04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7.25" x14ac:dyDescent="0.3">
      <c r="A20" s="117">
        <v>10</v>
      </c>
      <c r="B20" s="164">
        <v>1031.8699999999999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7.25" x14ac:dyDescent="0.3">
      <c r="A21" s="117">
        <v>11</v>
      </c>
      <c r="B21" s="164">
        <v>1197.01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7.25" x14ac:dyDescent="0.3">
      <c r="A22" s="117">
        <v>12</v>
      </c>
      <c r="B22" s="164">
        <v>1362.15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7.25" x14ac:dyDescent="0.3">
      <c r="A23" s="117">
        <v>13</v>
      </c>
      <c r="B23" s="164">
        <v>1527.29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7.25" x14ac:dyDescent="0.3">
      <c r="A24" s="117">
        <v>14</v>
      </c>
      <c r="B24" s="164">
        <v>1692.43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7.25" x14ac:dyDescent="0.3">
      <c r="A25" s="117">
        <v>15</v>
      </c>
      <c r="B25" s="164">
        <v>1857.56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7.25" x14ac:dyDescent="0.3">
      <c r="A26" s="117">
        <v>16</v>
      </c>
      <c r="B26" s="164">
        <v>2022.7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14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7.25" x14ac:dyDescent="0.3">
      <c r="A27" s="117">
        <v>17</v>
      </c>
      <c r="B27" s="164">
        <v>2187.84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14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7.25" x14ac:dyDescent="0.3">
      <c r="A28" s="117">
        <v>18</v>
      </c>
      <c r="B28" s="164">
        <v>2352.98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15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7.25" x14ac:dyDescent="0.3">
      <c r="A29" s="117">
        <v>19</v>
      </c>
      <c r="B29" s="164">
        <v>2518.12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7.25" x14ac:dyDescent="0.3">
      <c r="A30" s="117">
        <v>20</v>
      </c>
      <c r="B30" s="164">
        <v>2683.26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7.25" x14ac:dyDescent="0.3">
      <c r="A31" s="117">
        <v>21</v>
      </c>
      <c r="B31" s="164">
        <v>2848.4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7.25" x14ac:dyDescent="0.3">
      <c r="A32" s="117">
        <v>22</v>
      </c>
      <c r="B32" s="164">
        <v>3013.54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2" x14ac:dyDescent="0.25">
      <c r="A33" s="117">
        <v>23</v>
      </c>
      <c r="B33" s="164">
        <v>3178.68</v>
      </c>
    </row>
    <row r="34" spans="1:2" x14ac:dyDescent="0.25">
      <c r="A34" s="117">
        <v>24</v>
      </c>
      <c r="B34" s="164">
        <v>3343.82</v>
      </c>
    </row>
    <row r="35" spans="1:2" x14ac:dyDescent="0.25">
      <c r="A35" s="117">
        <v>25</v>
      </c>
      <c r="B35" s="164">
        <v>3508.96</v>
      </c>
    </row>
    <row r="36" spans="1:2" x14ac:dyDescent="0.25">
      <c r="A36" s="117">
        <v>26</v>
      </c>
      <c r="B36" s="164">
        <v>3674.1</v>
      </c>
    </row>
    <row r="37" spans="1:2" x14ac:dyDescent="0.25">
      <c r="A37" s="117">
        <v>27</v>
      </c>
      <c r="B37" s="164">
        <v>3839.24</v>
      </c>
    </row>
    <row r="38" spans="1:2" x14ac:dyDescent="0.25">
      <c r="A38" s="117">
        <v>28</v>
      </c>
      <c r="B38" s="164">
        <v>4004.37</v>
      </c>
    </row>
    <row r="39" spans="1:2" x14ac:dyDescent="0.25">
      <c r="A39" s="117">
        <v>29</v>
      </c>
      <c r="B39" s="164">
        <v>4169.51</v>
      </c>
    </row>
    <row r="40" spans="1:2" x14ac:dyDescent="0.25">
      <c r="A40" s="117">
        <v>30</v>
      </c>
      <c r="B40" s="164">
        <v>4334.6499999999996</v>
      </c>
    </row>
    <row r="41" spans="1:2" x14ac:dyDescent="0.25">
      <c r="A41" s="117">
        <v>31</v>
      </c>
      <c r="B41" s="164" t="s">
        <v>176</v>
      </c>
    </row>
    <row r="42" spans="1:2" x14ac:dyDescent="0.25">
      <c r="A42" s="117">
        <v>32</v>
      </c>
      <c r="B42" s="164" t="s">
        <v>176</v>
      </c>
    </row>
    <row r="43" spans="1:2" x14ac:dyDescent="0.25">
      <c r="A43" s="117">
        <v>33</v>
      </c>
      <c r="B43" s="164" t="s">
        <v>176</v>
      </c>
    </row>
    <row r="44" spans="1:2" x14ac:dyDescent="0.25">
      <c r="A44" s="117">
        <v>34</v>
      </c>
      <c r="B44" s="164" t="s">
        <v>176</v>
      </c>
    </row>
    <row r="45" spans="1:2" x14ac:dyDescent="0.25">
      <c r="A45" s="117">
        <v>35</v>
      </c>
      <c r="B45" s="164" t="s">
        <v>176</v>
      </c>
    </row>
    <row r="46" spans="1:2" x14ac:dyDescent="0.25">
      <c r="A46" s="117">
        <v>36</v>
      </c>
      <c r="B46" s="164" t="s">
        <v>176</v>
      </c>
    </row>
    <row r="47" spans="1:2" x14ac:dyDescent="0.25">
      <c r="A47" s="117">
        <v>37</v>
      </c>
      <c r="B47" s="164" t="s">
        <v>176</v>
      </c>
    </row>
    <row r="48" spans="1:2" x14ac:dyDescent="0.25">
      <c r="A48" s="117">
        <v>38</v>
      </c>
      <c r="B48" s="164" t="s">
        <v>176</v>
      </c>
    </row>
    <row r="49" spans="1:2" x14ac:dyDescent="0.25">
      <c r="A49" s="117">
        <v>39</v>
      </c>
      <c r="B49" s="164" t="s">
        <v>176</v>
      </c>
    </row>
    <row r="50" spans="1:2" x14ac:dyDescent="0.25">
      <c r="A50" s="117">
        <v>40</v>
      </c>
      <c r="B50" s="164" t="s">
        <v>176</v>
      </c>
    </row>
    <row r="51" spans="1:2" x14ac:dyDescent="0.25">
      <c r="A51" s="117">
        <v>41</v>
      </c>
      <c r="B51" s="164" t="s">
        <v>176</v>
      </c>
    </row>
    <row r="52" spans="1:2" x14ac:dyDescent="0.25">
      <c r="A52" s="117">
        <v>42</v>
      </c>
      <c r="B52" s="164" t="s">
        <v>176</v>
      </c>
    </row>
    <row r="53" spans="1:2" x14ac:dyDescent="0.25">
      <c r="A53" s="117">
        <v>43</v>
      </c>
      <c r="B53" s="164" t="s">
        <v>176</v>
      </c>
    </row>
    <row r="54" spans="1:2" x14ac:dyDescent="0.25">
      <c r="A54" s="117">
        <v>44</v>
      </c>
      <c r="B54" s="164" t="s">
        <v>176</v>
      </c>
    </row>
    <row r="55" spans="1:2" x14ac:dyDescent="0.25">
      <c r="A55" s="117">
        <v>45</v>
      </c>
      <c r="B55" s="164" t="s">
        <v>176</v>
      </c>
    </row>
    <row r="56" spans="1:2" x14ac:dyDescent="0.25">
      <c r="A56" s="117">
        <v>46</v>
      </c>
      <c r="B56" s="164" t="s">
        <v>176</v>
      </c>
    </row>
    <row r="57" spans="1:2" x14ac:dyDescent="0.25">
      <c r="A57" s="117">
        <v>47</v>
      </c>
      <c r="B57" s="164" t="s">
        <v>176</v>
      </c>
    </row>
    <row r="58" spans="1:2" x14ac:dyDescent="0.25">
      <c r="A58" s="117">
        <v>48</v>
      </c>
      <c r="B58" s="164" t="s">
        <v>176</v>
      </c>
    </row>
    <row r="59" spans="1:2" x14ac:dyDescent="0.25">
      <c r="A59" s="117">
        <v>49</v>
      </c>
      <c r="B59" s="164" t="s">
        <v>176</v>
      </c>
    </row>
    <row r="60" spans="1:2" x14ac:dyDescent="0.25">
      <c r="A60" s="117">
        <v>50</v>
      </c>
      <c r="B60" s="164" t="s">
        <v>176</v>
      </c>
    </row>
  </sheetData>
  <sheetProtection algorithmName="SHA-512" hashValue="V1qRFe3OCr/TCD/nlFFY7z1JcENgITYjnif+jvI1NKGBEUmlBREvrLaIXtUD1NYe+8PVqfnJllbgAcyno2/XgQ==" saltValue="Da0mOVPTP+6Qp4kEeMisTA==" spinCount="100000" sheet="1" objects="1" scenarios="1"/>
  <mergeCells count="4">
    <mergeCell ref="AD8:AH8"/>
    <mergeCell ref="A1:B1"/>
    <mergeCell ref="V8:AA8"/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workbookViewId="0">
      <selection activeCell="G37" sqref="G37"/>
    </sheetView>
  </sheetViews>
  <sheetFormatPr defaultRowHeight="15.75" x14ac:dyDescent="0.25"/>
  <cols>
    <col min="1" max="1" width="16.875" customWidth="1"/>
    <col min="2" max="2" width="22.125" style="40" customWidth="1"/>
    <col min="3" max="3" width="7.625" bestFit="1" customWidth="1"/>
    <col min="4" max="4" width="14.75" bestFit="1" customWidth="1"/>
  </cols>
  <sheetData>
    <row r="1" spans="1:4" s="40" customFormat="1" x14ac:dyDescent="0.25"/>
    <row r="2" spans="1:4" s="40" customFormat="1" ht="21" x14ac:dyDescent="0.35">
      <c r="A2" s="349" t="s">
        <v>193</v>
      </c>
      <c r="B2" s="349"/>
      <c r="C2" s="349"/>
      <c r="D2" s="349"/>
    </row>
    <row r="3" spans="1:4" x14ac:dyDescent="0.25">
      <c r="A3" s="180" t="s">
        <v>191</v>
      </c>
      <c r="B3" s="180" t="s">
        <v>192</v>
      </c>
      <c r="C3" s="180" t="s">
        <v>189</v>
      </c>
      <c r="D3" s="180" t="s">
        <v>190</v>
      </c>
    </row>
    <row r="4" spans="1:4" x14ac:dyDescent="0.25">
      <c r="A4" s="181">
        <v>0</v>
      </c>
      <c r="B4" s="181">
        <v>1903.98</v>
      </c>
      <c r="C4" s="178">
        <v>0</v>
      </c>
      <c r="D4" s="177">
        <v>0</v>
      </c>
    </row>
    <row r="5" spans="1:4" x14ac:dyDescent="0.25">
      <c r="A5" s="181">
        <v>1903.99</v>
      </c>
      <c r="B5" s="181">
        <v>2826.65</v>
      </c>
      <c r="C5" s="179">
        <v>7.4999999999999997E-2</v>
      </c>
      <c r="D5" s="177">
        <v>142.80000000000001</v>
      </c>
    </row>
    <row r="6" spans="1:4" x14ac:dyDescent="0.25">
      <c r="A6" s="181">
        <v>2826.66</v>
      </c>
      <c r="B6" s="181">
        <v>3751.05</v>
      </c>
      <c r="C6" s="179">
        <v>0.15</v>
      </c>
      <c r="D6" s="177">
        <v>354.8</v>
      </c>
    </row>
    <row r="7" spans="1:4" x14ac:dyDescent="0.25">
      <c r="A7" s="181">
        <v>3751.06</v>
      </c>
      <c r="B7" s="181">
        <v>4664.68</v>
      </c>
      <c r="C7" s="179">
        <v>0.22500000000000001</v>
      </c>
      <c r="D7" s="177">
        <v>636.13</v>
      </c>
    </row>
    <row r="8" spans="1:4" x14ac:dyDescent="0.25">
      <c r="A8" s="181">
        <v>4664.68</v>
      </c>
      <c r="B8" s="181">
        <v>99999999</v>
      </c>
      <c r="C8" s="179">
        <v>0.27500000000000002</v>
      </c>
      <c r="D8" s="177">
        <v>869.36</v>
      </c>
    </row>
    <row r="9" spans="1:4" x14ac:dyDescent="0.25">
      <c r="A9" s="350" t="s">
        <v>197</v>
      </c>
      <c r="B9" s="350"/>
      <c r="C9" s="350"/>
      <c r="D9" s="177">
        <v>189.59</v>
      </c>
    </row>
    <row r="11" spans="1:4" ht="21" x14ac:dyDescent="0.35">
      <c r="A11" s="349" t="s">
        <v>198</v>
      </c>
      <c r="B11" s="349"/>
      <c r="C11" s="349"/>
      <c r="D11" s="349"/>
    </row>
    <row r="12" spans="1:4" x14ac:dyDescent="0.25">
      <c r="A12" s="180"/>
      <c r="B12" s="180" t="s">
        <v>199</v>
      </c>
      <c r="C12" s="180" t="s">
        <v>189</v>
      </c>
      <c r="D12" s="180"/>
    </row>
    <row r="13" spans="1:4" x14ac:dyDescent="0.25">
      <c r="A13" s="181"/>
      <c r="B13" s="181">
        <v>5531.31</v>
      </c>
      <c r="C13" s="178">
        <v>0.11</v>
      </c>
      <c r="D13" s="177"/>
    </row>
  </sheetData>
  <sheetProtection algorithmName="SHA-512" hashValue="tph6NPNArau1/IV2THHZUG0JFLFmSJmrb4CK30uYKT4W3+hsw4u6LYHMn+qTIL8BeY+a32PtSLjprFUEzxRbvQ==" saltValue="35L8dV9qP2u9J2drv5cOOA==" spinCount="100000" sheet="1" objects="1" scenarios="1"/>
  <mergeCells count="3">
    <mergeCell ref="A2:D2"/>
    <mergeCell ref="A11:D11"/>
    <mergeCell ref="A9:C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R1:X24"/>
  <sheetViews>
    <sheetView topLeftCell="R1" workbookViewId="0">
      <selection activeCell="W15" sqref="W15"/>
    </sheetView>
  </sheetViews>
  <sheetFormatPr defaultRowHeight="15.75" x14ac:dyDescent="0.25"/>
  <cols>
    <col min="18" max="18" width="20.25" customWidth="1"/>
    <col min="19" max="22" width="16.375" customWidth="1"/>
    <col min="23" max="23" width="16.375" style="40" customWidth="1"/>
    <col min="24" max="24" width="16.375" customWidth="1"/>
  </cols>
  <sheetData>
    <row r="1" spans="18:24" s="40" customFormat="1" x14ac:dyDescent="0.25">
      <c r="R1" s="40" t="s">
        <v>201</v>
      </c>
    </row>
    <row r="2" spans="18:24" s="40" customFormat="1" x14ac:dyDescent="0.25"/>
    <row r="3" spans="18:24" s="40" customFormat="1" x14ac:dyDescent="0.25">
      <c r="R3" s="186" t="s">
        <v>200</v>
      </c>
      <c r="S3" s="186" t="s">
        <v>13</v>
      </c>
      <c r="T3" s="186" t="s">
        <v>25</v>
      </c>
      <c r="U3" s="186" t="s">
        <v>34</v>
      </c>
      <c r="V3" s="186" t="s">
        <v>42</v>
      </c>
      <c r="W3" s="186" t="s">
        <v>49</v>
      </c>
      <c r="X3" s="186" t="s">
        <v>202</v>
      </c>
    </row>
    <row r="4" spans="18:24" x14ac:dyDescent="0.25">
      <c r="R4" s="187">
        <v>0</v>
      </c>
      <c r="S4" s="188">
        <v>2.75E-2</v>
      </c>
      <c r="T4" s="189">
        <v>2.75E-2</v>
      </c>
      <c r="U4" s="189">
        <v>0.04</v>
      </c>
      <c r="V4" s="190" t="s">
        <v>204</v>
      </c>
      <c r="W4" s="187" t="s">
        <v>203</v>
      </c>
      <c r="X4" s="187" t="s">
        <v>203</v>
      </c>
    </row>
    <row r="5" spans="18:24" x14ac:dyDescent="0.25">
      <c r="R5" s="191">
        <v>180000.01</v>
      </c>
      <c r="S5" s="188">
        <v>2.75E-2</v>
      </c>
      <c r="T5" s="189">
        <v>2.75E-2</v>
      </c>
      <c r="U5" s="189">
        <v>0.04</v>
      </c>
      <c r="V5" s="190" t="s">
        <v>204</v>
      </c>
      <c r="W5" s="187" t="s">
        <v>203</v>
      </c>
      <c r="X5" s="187" t="s">
        <v>203</v>
      </c>
    </row>
    <row r="6" spans="18:24" x14ac:dyDescent="0.25">
      <c r="R6" s="191">
        <v>360000.01</v>
      </c>
      <c r="S6" s="188">
        <v>2.75E-2</v>
      </c>
      <c r="T6" s="189">
        <v>2.75E-2</v>
      </c>
      <c r="U6" s="189">
        <v>4.07E-2</v>
      </c>
      <c r="V6" s="190" t="s">
        <v>204</v>
      </c>
      <c r="W6" s="187" t="s">
        <v>203</v>
      </c>
      <c r="X6" s="187" t="s">
        <v>203</v>
      </c>
    </row>
    <row r="7" spans="18:24" x14ac:dyDescent="0.25">
      <c r="R7" s="191">
        <v>540000.01</v>
      </c>
      <c r="S7" s="188">
        <v>2.9899999999999999E-2</v>
      </c>
      <c r="T7" s="189">
        <v>2.9899999999999999E-2</v>
      </c>
      <c r="U7" s="189">
        <v>4.4699999999999997E-2</v>
      </c>
      <c r="V7" s="190" t="s">
        <v>204</v>
      </c>
      <c r="W7" s="187" t="s">
        <v>203</v>
      </c>
      <c r="X7" s="187" t="s">
        <v>203</v>
      </c>
    </row>
    <row r="8" spans="18:24" x14ac:dyDescent="0.25">
      <c r="R8" s="191">
        <v>720000.01</v>
      </c>
      <c r="S8" s="188">
        <v>3.0200000000000001E-2</v>
      </c>
      <c r="T8" s="189">
        <v>3.0200000000000001E-2</v>
      </c>
      <c r="U8" s="189">
        <v>4.5199999999999997E-2</v>
      </c>
      <c r="V8" s="190" t="s">
        <v>204</v>
      </c>
      <c r="W8" s="187" t="s">
        <v>203</v>
      </c>
      <c r="X8" s="187" t="s">
        <v>203</v>
      </c>
    </row>
    <row r="9" spans="18:24" x14ac:dyDescent="0.25">
      <c r="R9" s="191">
        <v>900000.01</v>
      </c>
      <c r="S9" s="188">
        <v>3.2800000000000003E-2</v>
      </c>
      <c r="T9" s="189">
        <v>3.2800000000000003E-2</v>
      </c>
      <c r="U9" s="189">
        <v>4.9200000000000001E-2</v>
      </c>
      <c r="V9" s="190" t="s">
        <v>204</v>
      </c>
      <c r="W9" s="187" t="s">
        <v>203</v>
      </c>
      <c r="X9" s="187" t="s">
        <v>203</v>
      </c>
    </row>
    <row r="10" spans="18:24" x14ac:dyDescent="0.25">
      <c r="R10" s="191">
        <v>1080000.01</v>
      </c>
      <c r="S10" s="188">
        <v>3.3000000000000002E-2</v>
      </c>
      <c r="T10" s="189">
        <v>3.3000000000000002E-2</v>
      </c>
      <c r="U10" s="189">
        <v>4.9700000000000001E-2</v>
      </c>
      <c r="V10" s="190" t="s">
        <v>204</v>
      </c>
      <c r="W10" s="187" t="s">
        <v>203</v>
      </c>
      <c r="X10" s="187" t="s">
        <v>203</v>
      </c>
    </row>
    <row r="11" spans="18:24" x14ac:dyDescent="0.25">
      <c r="R11" s="191">
        <v>1260000.01</v>
      </c>
      <c r="S11" s="188">
        <v>3.3500000000000002E-2</v>
      </c>
      <c r="T11" s="189">
        <v>3.3500000000000002E-2</v>
      </c>
      <c r="U11" s="189">
        <v>5.0299999999999997E-2</v>
      </c>
      <c r="V11" s="190" t="s">
        <v>204</v>
      </c>
      <c r="W11" s="187" t="s">
        <v>203</v>
      </c>
      <c r="X11" s="187" t="s">
        <v>203</v>
      </c>
    </row>
    <row r="12" spans="18:24" x14ac:dyDescent="0.25">
      <c r="R12" s="191">
        <v>1440000.01</v>
      </c>
      <c r="S12" s="188">
        <v>3.5700000000000003E-2</v>
      </c>
      <c r="T12" s="189">
        <v>3.5700000000000003E-2</v>
      </c>
      <c r="U12" s="189">
        <v>5.3699999999999998E-2</v>
      </c>
      <c r="V12" s="190" t="s">
        <v>204</v>
      </c>
      <c r="W12" s="187" t="s">
        <v>203</v>
      </c>
      <c r="X12" s="187" t="s">
        <v>203</v>
      </c>
    </row>
    <row r="13" spans="18:24" x14ac:dyDescent="0.25">
      <c r="R13" s="191">
        <v>1620000.01</v>
      </c>
      <c r="S13" s="188">
        <v>3.5999999999999997E-2</v>
      </c>
      <c r="T13" s="189">
        <v>3.5999999999999997E-2</v>
      </c>
      <c r="U13" s="189">
        <v>5.4199999999999998E-2</v>
      </c>
      <c r="V13" s="190" t="s">
        <v>204</v>
      </c>
      <c r="W13" s="187" t="s">
        <v>203</v>
      </c>
      <c r="X13" s="187" t="s">
        <v>203</v>
      </c>
    </row>
    <row r="14" spans="18:24" x14ac:dyDescent="0.25">
      <c r="R14" s="191">
        <v>1800000.01</v>
      </c>
      <c r="S14" s="188">
        <v>3.9399999999999998E-2</v>
      </c>
      <c r="T14" s="189">
        <v>3.9399999999999998E-2</v>
      </c>
      <c r="U14" s="189">
        <v>5.9799999999999999E-2</v>
      </c>
      <c r="V14" s="190" t="s">
        <v>204</v>
      </c>
      <c r="W14" s="187" t="s">
        <v>203</v>
      </c>
      <c r="X14" s="187" t="s">
        <v>203</v>
      </c>
    </row>
    <row r="15" spans="18:24" x14ac:dyDescent="0.25">
      <c r="R15" s="191">
        <v>1980000.01</v>
      </c>
      <c r="S15" s="188">
        <v>3.9899999999999998E-2</v>
      </c>
      <c r="T15" s="189">
        <v>3.9899999999999998E-2</v>
      </c>
      <c r="U15" s="189">
        <v>6.0900000000000003E-2</v>
      </c>
      <c r="V15" s="190" t="s">
        <v>204</v>
      </c>
      <c r="W15" s="187" t="s">
        <v>203</v>
      </c>
      <c r="X15" s="187" t="s">
        <v>203</v>
      </c>
    </row>
    <row r="16" spans="18:24" x14ac:dyDescent="0.25">
      <c r="R16" s="191">
        <v>2160000.0099999998</v>
      </c>
      <c r="S16" s="188">
        <v>4.0099999999999997E-2</v>
      </c>
      <c r="T16" s="189">
        <v>4.0099999999999997E-2</v>
      </c>
      <c r="U16" s="189">
        <v>6.1899999999999997E-2</v>
      </c>
      <c r="V16" s="190" t="s">
        <v>204</v>
      </c>
      <c r="W16" s="187" t="s">
        <v>203</v>
      </c>
      <c r="X16" s="187" t="s">
        <v>203</v>
      </c>
    </row>
    <row r="17" spans="18:24" x14ac:dyDescent="0.25">
      <c r="R17" s="191">
        <v>2340000.0099999998</v>
      </c>
      <c r="S17" s="188">
        <v>4.0500000000000001E-2</v>
      </c>
      <c r="T17" s="189">
        <v>4.0500000000000001E-2</v>
      </c>
      <c r="U17" s="189">
        <v>6.3E-2</v>
      </c>
      <c r="V17" s="190" t="s">
        <v>204</v>
      </c>
      <c r="W17" s="187" t="s">
        <v>203</v>
      </c>
      <c r="X17" s="187" t="s">
        <v>203</v>
      </c>
    </row>
    <row r="18" spans="18:24" x14ac:dyDescent="0.25">
      <c r="R18" s="191">
        <v>2520000.0099999998</v>
      </c>
      <c r="S18" s="188">
        <v>4.0800000000000003E-2</v>
      </c>
      <c r="T18" s="189">
        <v>4.0800000000000003E-2</v>
      </c>
      <c r="U18" s="189">
        <v>6.4000000000000001E-2</v>
      </c>
      <c r="V18" s="190" t="s">
        <v>204</v>
      </c>
      <c r="W18" s="187" t="s">
        <v>203</v>
      </c>
      <c r="X18" s="187" t="s">
        <v>203</v>
      </c>
    </row>
    <row r="19" spans="18:24" x14ac:dyDescent="0.25">
      <c r="R19" s="191">
        <v>2700000.01</v>
      </c>
      <c r="S19" s="188">
        <v>4.4400000000000002E-2</v>
      </c>
      <c r="T19" s="189">
        <v>4.4400000000000002E-2</v>
      </c>
      <c r="U19" s="189">
        <v>7.4099999999999999E-2</v>
      </c>
      <c r="V19" s="190" t="s">
        <v>204</v>
      </c>
      <c r="W19" s="187" t="s">
        <v>203</v>
      </c>
      <c r="X19" s="187" t="s">
        <v>203</v>
      </c>
    </row>
    <row r="20" spans="18:24" x14ac:dyDescent="0.25">
      <c r="R20" s="191">
        <v>2880000.01</v>
      </c>
      <c r="S20" s="188">
        <v>4.4900000000000002E-2</v>
      </c>
      <c r="T20" s="189">
        <v>4.4900000000000002E-2</v>
      </c>
      <c r="U20" s="189">
        <v>7.4999999999999997E-2</v>
      </c>
      <c r="V20" s="190" t="s">
        <v>204</v>
      </c>
      <c r="W20" s="187" t="s">
        <v>203</v>
      </c>
      <c r="X20" s="187" t="s">
        <v>203</v>
      </c>
    </row>
    <row r="21" spans="18:24" x14ac:dyDescent="0.25">
      <c r="R21" s="191">
        <v>3060000.01</v>
      </c>
      <c r="S21" s="188">
        <v>4.5199999999999997E-2</v>
      </c>
      <c r="T21" s="189">
        <v>4.5199999999999997E-2</v>
      </c>
      <c r="U21" s="189">
        <v>7.5999999999999998E-2</v>
      </c>
      <c r="V21" s="190" t="s">
        <v>204</v>
      </c>
      <c r="W21" s="187" t="s">
        <v>203</v>
      </c>
      <c r="X21" s="187" t="s">
        <v>203</v>
      </c>
    </row>
    <row r="22" spans="18:24" x14ac:dyDescent="0.25">
      <c r="R22" s="191">
        <v>3240000.01</v>
      </c>
      <c r="S22" s="188">
        <v>4.5600000000000002E-2</v>
      </c>
      <c r="T22" s="189">
        <v>4.5600000000000002E-2</v>
      </c>
      <c r="U22" s="189">
        <v>7.7100000000000002E-2</v>
      </c>
      <c r="V22" s="190" t="s">
        <v>204</v>
      </c>
      <c r="W22" s="187" t="s">
        <v>203</v>
      </c>
      <c r="X22" s="187" t="s">
        <v>203</v>
      </c>
    </row>
    <row r="23" spans="18:24" x14ac:dyDescent="0.25">
      <c r="R23" s="191">
        <v>3420000.01</v>
      </c>
      <c r="S23" s="188">
        <v>4.5999999999999999E-2</v>
      </c>
      <c r="T23" s="189">
        <v>4.5999999999999999E-2</v>
      </c>
      <c r="U23" s="189">
        <v>7.8299999999999995E-2</v>
      </c>
      <c r="V23" s="190" t="s">
        <v>204</v>
      </c>
      <c r="W23" s="187" t="s">
        <v>203</v>
      </c>
      <c r="X23" s="187" t="s">
        <v>203</v>
      </c>
    </row>
    <row r="24" spans="18:24" x14ac:dyDescent="0.25">
      <c r="U24" s="185"/>
      <c r="V24" s="185"/>
    </row>
  </sheetData>
  <sheetProtection algorithmName="SHA-512" hashValue="ln0m1oGT2CG/LDExd+AtVEgxxIFTSh1k/YqxoXZUGMGzHKpgKCzh39JmVfdzmsntGajF+vXMSk82+6fI67/Mvw==" saltValue="VL5n3NA9QLZYsU/QY90Ma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INSTRUÇÕES</vt:lpstr>
      <vt:lpstr>CÁLCULO</vt:lpstr>
      <vt:lpstr>1 Faturamentos</vt:lpstr>
      <vt:lpstr>2 Planejamento</vt:lpstr>
      <vt:lpstr>3 Tabelas Simples Nacional 2018</vt:lpstr>
      <vt:lpstr>4 Tabelas Pro-Labore</vt:lpstr>
      <vt:lpstr>5 CPP Simples Nacional 2017</vt:lpstr>
    </vt:vector>
  </TitlesOfParts>
  <Company>AEC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CastroJr.</dc:creator>
  <cp:lastModifiedBy>EmpCont</cp:lastModifiedBy>
  <cp:lastPrinted>2020-11-18T14:24:15Z</cp:lastPrinted>
  <dcterms:created xsi:type="dcterms:W3CDTF">2014-11-25T03:12:12Z</dcterms:created>
  <dcterms:modified xsi:type="dcterms:W3CDTF">2020-11-18T14:33:21Z</dcterms:modified>
</cp:coreProperties>
</file>