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cietario2\Desktop\PROGRAMAS FISCAIS\APURAÇÕES\"/>
    </mc:Choice>
  </mc:AlternateContent>
  <bookViews>
    <workbookView xWindow="0" yWindow="60" windowWidth="20730" windowHeight="9675"/>
  </bookViews>
  <sheets>
    <sheet name="I - COMERCIO" sheetId="3" r:id="rId1"/>
    <sheet name="II - INDÚSTRIA" sheetId="1" r:id="rId2"/>
    <sheet name="III - SERVIÇOS" sheetId="7" r:id="rId3"/>
    <sheet name="IV - CONSTRUÇÃO CIVIL" sheetId="8" r:id="rId4"/>
    <sheet name="V - SERVIÇOS INTELECTUAIS" sheetId="9" r:id="rId5"/>
  </sheets>
  <calcPr calcId="152511"/>
</workbook>
</file>

<file path=xl/calcChain.xml><?xml version="1.0" encoding="utf-8"?>
<calcChain xmlns="http://schemas.openxmlformats.org/spreadsheetml/2006/main">
  <c r="B20" i="9" l="1"/>
  <c r="C20" i="9" s="1"/>
  <c r="B19" i="9"/>
  <c r="C19" i="9" s="1"/>
  <c r="B18" i="9"/>
  <c r="C18" i="9" s="1"/>
  <c r="B17" i="9"/>
  <c r="C17" i="9" s="1"/>
  <c r="B16" i="9"/>
  <c r="C16" i="9" s="1"/>
  <c r="B15" i="9"/>
  <c r="C15" i="9" s="1"/>
  <c r="D15" i="9" s="1"/>
  <c r="D16" i="9" s="1"/>
  <c r="C4" i="9" s="1"/>
  <c r="L33" i="8"/>
  <c r="K29" i="8"/>
  <c r="J30" i="8" s="1"/>
  <c r="J31" i="8" s="1"/>
  <c r="B20" i="8"/>
  <c r="C20" i="8" s="1"/>
  <c r="B19" i="8"/>
  <c r="C19" i="8" s="1"/>
  <c r="B18" i="8"/>
  <c r="C18" i="8" s="1"/>
  <c r="K17" i="8"/>
  <c r="B17" i="8"/>
  <c r="C17" i="8" s="1"/>
  <c r="B16" i="8"/>
  <c r="C16" i="8" s="1"/>
  <c r="B15" i="8"/>
  <c r="C15" i="8" s="1"/>
  <c r="D15" i="8" s="1"/>
  <c r="D16" i="8" s="1"/>
  <c r="C4" i="8" s="1"/>
  <c r="O12" i="8"/>
  <c r="O11" i="8"/>
  <c r="O10" i="8"/>
  <c r="L41" i="7"/>
  <c r="J42" i="7" s="1"/>
  <c r="L32" i="7"/>
  <c r="L28" i="7"/>
  <c r="B20" i="7"/>
  <c r="C20" i="7" s="1"/>
  <c r="B19" i="7"/>
  <c r="C19" i="7" s="1"/>
  <c r="B18" i="7"/>
  <c r="C18" i="7" s="1"/>
  <c r="B17" i="7"/>
  <c r="C17" i="7" s="1"/>
  <c r="B16" i="7"/>
  <c r="C16" i="7" s="1"/>
  <c r="B15" i="7"/>
  <c r="C15" i="7" s="1"/>
  <c r="B21" i="1"/>
  <c r="C21" i="1" s="1"/>
  <c r="B20" i="1"/>
  <c r="C20" i="1" s="1"/>
  <c r="C19" i="1"/>
  <c r="B19" i="1"/>
  <c r="B18" i="1"/>
  <c r="C18" i="1" s="1"/>
  <c r="B17" i="1"/>
  <c r="C17" i="1" s="1"/>
  <c r="B16" i="1"/>
  <c r="C16" i="1" s="1"/>
  <c r="B15" i="1"/>
  <c r="C15" i="1" s="1"/>
  <c r="D15" i="1" s="1"/>
  <c r="D16" i="1" s="1"/>
  <c r="C4" i="1" s="1"/>
  <c r="B20" i="3"/>
  <c r="C20" i="3" s="1"/>
  <c r="B19" i="3"/>
  <c r="C19" i="3" s="1"/>
  <c r="D15" i="3" s="1"/>
  <c r="D16" i="3" s="1"/>
  <c r="B18" i="3"/>
  <c r="C18" i="3" s="1"/>
  <c r="B17" i="3"/>
  <c r="C17" i="3" s="1"/>
  <c r="B16" i="3"/>
  <c r="C16" i="3" s="1"/>
  <c r="B15" i="3"/>
  <c r="C15" i="3" s="1"/>
  <c r="C4" i="3"/>
  <c r="G42" i="7" l="1"/>
  <c r="K42" i="7"/>
  <c r="D15" i="7"/>
  <c r="D16" i="7" s="1"/>
  <c r="C4" i="7" s="1"/>
  <c r="J36" i="7" s="1"/>
  <c r="H38" i="8"/>
  <c r="J37" i="8"/>
  <c r="I16" i="3"/>
  <c r="I17" i="3" s="1"/>
  <c r="L16" i="3"/>
  <c r="L17" i="3" s="1"/>
  <c r="H16" i="3"/>
  <c r="H17" i="3" s="1"/>
  <c r="K16" i="3"/>
  <c r="K17" i="3" s="1"/>
  <c r="G16" i="3"/>
  <c r="G17" i="3" s="1"/>
  <c r="J16" i="3"/>
  <c r="J17" i="3" s="1"/>
  <c r="M16" i="1"/>
  <c r="M17" i="1" s="1"/>
  <c r="I16" i="1"/>
  <c r="I17" i="1" s="1"/>
  <c r="L16" i="1"/>
  <c r="L17" i="1" s="1"/>
  <c r="H16" i="1"/>
  <c r="H17" i="1" s="1"/>
  <c r="K16" i="1"/>
  <c r="K17" i="1" s="1"/>
  <c r="G16" i="1"/>
  <c r="G17" i="1" s="1"/>
  <c r="J16" i="1"/>
  <c r="J17" i="1" s="1"/>
  <c r="I16" i="9"/>
  <c r="I17" i="9" s="1"/>
  <c r="L16" i="9"/>
  <c r="L17" i="9" s="1"/>
  <c r="H16" i="9"/>
  <c r="H17" i="9" s="1"/>
  <c r="K16" i="9"/>
  <c r="K17" i="9" s="1"/>
  <c r="G16" i="9"/>
  <c r="G17" i="9" s="1"/>
  <c r="J16" i="9"/>
  <c r="J17" i="9" s="1"/>
  <c r="I30" i="7"/>
  <c r="K29" i="7"/>
  <c r="G29" i="7"/>
  <c r="K30" i="7"/>
  <c r="G30" i="7"/>
  <c r="I29" i="7"/>
  <c r="H30" i="7"/>
  <c r="H29" i="7"/>
  <c r="J30" i="7"/>
  <c r="K38" i="8"/>
  <c r="G38" i="8"/>
  <c r="I37" i="8"/>
  <c r="J32" i="8"/>
  <c r="J33" i="8" s="1"/>
  <c r="I16" i="8"/>
  <c r="I17" i="8" s="1"/>
  <c r="J38" i="8"/>
  <c r="L37" i="8"/>
  <c r="H37" i="8"/>
  <c r="H16" i="8"/>
  <c r="H17" i="8" s="1"/>
  <c r="I38" i="8"/>
  <c r="K37" i="8"/>
  <c r="G37" i="8"/>
  <c r="H32" i="8"/>
  <c r="H33" i="8" s="1"/>
  <c r="L16" i="8"/>
  <c r="L17" i="8" s="1"/>
  <c r="G16" i="8"/>
  <c r="K32" i="8"/>
  <c r="K33" i="8" s="1"/>
  <c r="J29" i="7"/>
  <c r="J16" i="8"/>
  <c r="J17" i="8" s="1"/>
  <c r="I30" i="8"/>
  <c r="I31" i="8" s="1"/>
  <c r="I32" i="8" s="1"/>
  <c r="I33" i="8" s="1"/>
  <c r="H30" i="8"/>
  <c r="G30" i="8"/>
  <c r="G31" i="8" s="1"/>
  <c r="G32" i="8" s="1"/>
  <c r="H42" i="7"/>
  <c r="I42" i="7"/>
  <c r="H37" i="7" l="1"/>
  <c r="J37" i="7"/>
  <c r="G37" i="7"/>
  <c r="I31" i="7"/>
  <c r="I32" i="7" s="1"/>
  <c r="I37" i="7"/>
  <c r="G36" i="7"/>
  <c r="K31" i="7"/>
  <c r="K32" i="7" s="1"/>
  <c r="K36" i="7"/>
  <c r="I36" i="7"/>
  <c r="H16" i="7"/>
  <c r="H17" i="7" s="1"/>
  <c r="J16" i="7"/>
  <c r="J17" i="7" s="1"/>
  <c r="L16" i="7"/>
  <c r="L17" i="7" s="1"/>
  <c r="L18" i="7" s="1"/>
  <c r="L19" i="7" s="1"/>
  <c r="H36" i="7"/>
  <c r="K16" i="7"/>
  <c r="K17" i="7" s="1"/>
  <c r="I16" i="7"/>
  <c r="I17" i="7" s="1"/>
  <c r="L36" i="7"/>
  <c r="G16" i="7"/>
  <c r="G17" i="7" s="1"/>
  <c r="J18" i="3"/>
  <c r="J19" i="3" s="1"/>
  <c r="J20" i="3" s="1"/>
  <c r="G31" i="7"/>
  <c r="G32" i="7" s="1"/>
  <c r="H34" i="8"/>
  <c r="J34" i="8"/>
  <c r="M17" i="9"/>
  <c r="M20" i="9" s="1"/>
  <c r="K18" i="9" s="1"/>
  <c r="K19" i="9" s="1"/>
  <c r="G18" i="9"/>
  <c r="G18" i="1"/>
  <c r="N17" i="1"/>
  <c r="N20" i="1" s="1"/>
  <c r="K18" i="1" s="1"/>
  <c r="K19" i="1" s="1"/>
  <c r="L18" i="1"/>
  <c r="L19" i="1" s="1"/>
  <c r="G4" i="3"/>
  <c r="H18" i="3"/>
  <c r="H19" i="3" s="1"/>
  <c r="K34" i="8"/>
  <c r="L30" i="7"/>
  <c r="I18" i="9"/>
  <c r="I19" i="9" s="1"/>
  <c r="I18" i="1"/>
  <c r="I19" i="1" s="1"/>
  <c r="L18" i="3"/>
  <c r="L19" i="3" s="1"/>
  <c r="H31" i="7"/>
  <c r="H32" i="7" s="1"/>
  <c r="J31" i="7"/>
  <c r="J32" i="7" s="1"/>
  <c r="K37" i="7"/>
  <c r="M16" i="8"/>
  <c r="G17" i="8"/>
  <c r="I18" i="8" s="1"/>
  <c r="I19" i="8" s="1"/>
  <c r="I34" i="8"/>
  <c r="H18" i="9"/>
  <c r="H19" i="9" s="1"/>
  <c r="M18" i="1"/>
  <c r="M19" i="1" s="1"/>
  <c r="J4" i="1" s="1"/>
  <c r="G18" i="3"/>
  <c r="M17" i="3"/>
  <c r="N17" i="3" s="1"/>
  <c r="G33" i="8"/>
  <c r="M32" i="8"/>
  <c r="L29" i="7"/>
  <c r="J18" i="9"/>
  <c r="J19" i="9" s="1"/>
  <c r="L18" i="9"/>
  <c r="L19" i="9" s="1"/>
  <c r="J18" i="1"/>
  <c r="J19" i="1" s="1"/>
  <c r="H18" i="1"/>
  <c r="H19" i="1" s="1"/>
  <c r="K18" i="3"/>
  <c r="K19" i="3" s="1"/>
  <c r="I18" i="3"/>
  <c r="I19" i="3" s="1"/>
  <c r="L33" i="7" l="1"/>
  <c r="J18" i="7"/>
  <c r="J19" i="7" s="1"/>
  <c r="J20" i="7" s="1"/>
  <c r="G18" i="7"/>
  <c r="G19" i="7" s="1"/>
  <c r="M17" i="7"/>
  <c r="M20" i="7" s="1"/>
  <c r="K18" i="7" s="1"/>
  <c r="K19" i="7" s="1"/>
  <c r="K21" i="7" s="1"/>
  <c r="I18" i="7"/>
  <c r="I19" i="7" s="1"/>
  <c r="I21" i="7" s="1"/>
  <c r="H18" i="7"/>
  <c r="H19" i="7" s="1"/>
  <c r="H18" i="8"/>
  <c r="H19" i="8" s="1"/>
  <c r="H20" i="8" s="1"/>
  <c r="J18" i="8"/>
  <c r="J19" i="8" s="1"/>
  <c r="J20" i="8" s="1"/>
  <c r="H33" i="7"/>
  <c r="K20" i="9"/>
  <c r="H4" i="9"/>
  <c r="I20" i="3"/>
  <c r="F4" i="3"/>
  <c r="L20" i="9"/>
  <c r="I4" i="9"/>
  <c r="H20" i="9"/>
  <c r="E4" i="9"/>
  <c r="I20" i="9"/>
  <c r="F4" i="9"/>
  <c r="M31" i="7"/>
  <c r="L20" i="1"/>
  <c r="I4" i="1"/>
  <c r="I33" i="7"/>
  <c r="K20" i="3"/>
  <c r="H4" i="3"/>
  <c r="J20" i="9"/>
  <c r="G4" i="9"/>
  <c r="I20" i="8"/>
  <c r="I21" i="8"/>
  <c r="L20" i="3"/>
  <c r="I4" i="3"/>
  <c r="M32" i="7"/>
  <c r="G33" i="7"/>
  <c r="H20" i="3"/>
  <c r="E4" i="3"/>
  <c r="L21" i="7"/>
  <c r="L20" i="7"/>
  <c r="E4" i="1"/>
  <c r="H20" i="1"/>
  <c r="G34" i="8"/>
  <c r="M33" i="8"/>
  <c r="N33" i="8" s="1"/>
  <c r="M18" i="3"/>
  <c r="M19" i="3" s="1"/>
  <c r="G19" i="3"/>
  <c r="I20" i="7"/>
  <c r="I20" i="1"/>
  <c r="F4" i="1"/>
  <c r="G19" i="1"/>
  <c r="N18" i="1"/>
  <c r="O18" i="1"/>
  <c r="O19" i="1" s="1"/>
  <c r="H21" i="8"/>
  <c r="G4" i="1"/>
  <c r="J20" i="1"/>
  <c r="M17" i="8"/>
  <c r="M20" i="8" s="1"/>
  <c r="L18" i="8" s="1"/>
  <c r="L19" i="8" s="1"/>
  <c r="G18" i="8"/>
  <c r="L34" i="8"/>
  <c r="K18" i="8"/>
  <c r="K19" i="8" s="1"/>
  <c r="J33" i="7"/>
  <c r="K20" i="1"/>
  <c r="H4" i="1"/>
  <c r="N18" i="9"/>
  <c r="N19" i="9" s="1"/>
  <c r="G19" i="9"/>
  <c r="M18" i="9"/>
  <c r="J21" i="7" l="1"/>
  <c r="K20" i="7"/>
  <c r="J21" i="8"/>
  <c r="M18" i="7"/>
  <c r="N32" i="7"/>
  <c r="K33" i="7" s="1"/>
  <c r="M33" i="7" s="1"/>
  <c r="N18" i="7"/>
  <c r="N19" i="7" s="1"/>
  <c r="H21" i="7"/>
  <c r="H20" i="7"/>
  <c r="M34" i="8"/>
  <c r="K20" i="8"/>
  <c r="K21" i="8"/>
  <c r="G20" i="7"/>
  <c r="G21" i="7"/>
  <c r="G20" i="1"/>
  <c r="D4" i="1"/>
  <c r="N18" i="8"/>
  <c r="N19" i="8" s="1"/>
  <c r="M18" i="8"/>
  <c r="G19" i="8"/>
  <c r="M21" i="7"/>
  <c r="N21" i="7" s="1"/>
  <c r="G20" i="9"/>
  <c r="D4" i="9"/>
  <c r="L20" i="8"/>
  <c r="L21" i="8"/>
  <c r="G20" i="3"/>
  <c r="D4" i="3"/>
  <c r="G20" i="8" l="1"/>
  <c r="G21" i="8"/>
  <c r="M21" i="8"/>
  <c r="N21" i="8" s="1"/>
  <c r="L23" i="8" s="1"/>
  <c r="L24" i="8" s="1"/>
  <c r="L25" i="8" s="1"/>
  <c r="H4" i="8" s="1"/>
  <c r="H22" i="7"/>
  <c r="H23" i="7" s="1"/>
  <c r="H24" i="7" s="1"/>
  <c r="J22" i="7"/>
  <c r="J23" i="7" s="1"/>
  <c r="J24" i="7" s="1"/>
  <c r="G22" i="7"/>
  <c r="K22" i="7"/>
  <c r="K23" i="7" s="1"/>
  <c r="K24" i="7" s="1"/>
  <c r="I22" i="7"/>
  <c r="I23" i="7" s="1"/>
  <c r="I24" i="7" s="1"/>
  <c r="L23" i="7"/>
  <c r="L24" i="7" s="1"/>
  <c r="M22" i="7" l="1"/>
  <c r="G23" i="7"/>
  <c r="J22" i="8"/>
  <c r="J23" i="8" s="1"/>
  <c r="J24" i="8" s="1"/>
  <c r="I22" i="8"/>
  <c r="I23" i="8" s="1"/>
  <c r="I24" i="8" s="1"/>
  <c r="H22" i="8"/>
  <c r="H23" i="8" s="1"/>
  <c r="H24" i="8" s="1"/>
  <c r="K22" i="8"/>
  <c r="K23" i="8" s="1"/>
  <c r="K24" i="8" s="1"/>
  <c r="G22" i="8"/>
  <c r="M22" i="8" l="1"/>
  <c r="G23" i="8"/>
  <c r="G24" i="7"/>
  <c r="M23" i="7"/>
  <c r="G25" i="7" l="1"/>
  <c r="M24" i="7"/>
  <c r="N24" i="7" s="1"/>
  <c r="K25" i="7" s="1"/>
  <c r="H4" i="7" s="1"/>
  <c r="L25" i="7"/>
  <c r="I4" i="7" s="1"/>
  <c r="I25" i="7"/>
  <c r="F4" i="7" s="1"/>
  <c r="J25" i="7"/>
  <c r="G4" i="7" s="1"/>
  <c r="H25" i="7"/>
  <c r="E4" i="7" s="1"/>
  <c r="G24" i="8"/>
  <c r="M23" i="8"/>
  <c r="M24" i="8" l="1"/>
  <c r="K25" i="8"/>
  <c r="P4" i="8" s="1"/>
  <c r="J25" i="8"/>
  <c r="G4" i="8" s="1"/>
  <c r="H25" i="8"/>
  <c r="E4" i="8" s="1"/>
  <c r="I25" i="8"/>
  <c r="F4" i="8" s="1"/>
  <c r="N24" i="8"/>
  <c r="G25" i="8" s="1"/>
  <c r="D4" i="7"/>
  <c r="M25" i="7"/>
  <c r="M25" i="8" l="1"/>
  <c r="D4" i="8"/>
</calcChain>
</file>

<file path=xl/sharedStrings.xml><?xml version="1.0" encoding="utf-8"?>
<sst xmlns="http://schemas.openxmlformats.org/spreadsheetml/2006/main" count="232" uniqueCount="26">
  <si>
    <t>IRPJ</t>
  </si>
  <si>
    <t>CSLL</t>
  </si>
  <si>
    <t>Cofins</t>
  </si>
  <si>
    <t>PIS/Pasep</t>
  </si>
  <si>
    <t>CPP</t>
  </si>
  <si>
    <t>ICMS</t>
  </si>
  <si>
    <t>RBT12:</t>
  </si>
  <si>
    <t>LIM.INFERIOR</t>
  </si>
  <si>
    <t>LIM.SUPERIOR</t>
  </si>
  <si>
    <t>VLR DEDUZIR</t>
  </si>
  <si>
    <t>1ª faixa</t>
  </si>
  <si>
    <t>2ª faixa</t>
  </si>
  <si>
    <t>3ª faixa</t>
  </si>
  <si>
    <t>4ª faixa</t>
  </si>
  <si>
    <t>5ª faixa</t>
  </si>
  <si>
    <t>6ª faixa</t>
  </si>
  <si>
    <t>7ª faixa</t>
  </si>
  <si>
    <t>digite a RBT12 no próximo campo - &gt;</t>
  </si>
  <si>
    <t>alíquota efetiva</t>
  </si>
  <si>
    <t>PERCENTUAIS EFETIVOS DOS TRIBUTOS</t>
  </si>
  <si>
    <t>ALÍQUOTA NOMINAL</t>
  </si>
  <si>
    <t>PERCENTUAIS DE REPARTIÇÃO DOS TRIBUTOS</t>
  </si>
  <si>
    <t>IPI</t>
  </si>
  <si>
    <t>ISS</t>
  </si>
  <si>
    <t>-</t>
  </si>
  <si>
    <t>limite para 4,99 de 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</si>
</sst>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strike/>
      <sz val="16"/>
      <color theme="1"/>
      <name val="Calibri"/>
      <family val="2"/>
      <scheme val="minor"/>
    </font>
    <font>
      <b/>
      <strike/>
      <u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trike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64">
    <xf numFmtId="0" fontId="0" fillId="0" borderId="0" xfId="0"/>
    <xf numFmtId="10" fontId="2" fillId="0" borderId="1" xfId="0" applyNumberFormat="1" applyFont="1" applyBorder="1" applyAlignment="1">
      <alignment horizontal="center" vertical="center" wrapText="1"/>
    </xf>
    <xf numFmtId="165" fontId="0" fillId="0" borderId="0" xfId="2" applyNumberFormat="1" applyFont="1"/>
    <xf numFmtId="165" fontId="0" fillId="0" borderId="0" xfId="0" applyNumberFormat="1"/>
    <xf numFmtId="167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8" fontId="5" fillId="2" borderId="0" xfId="0" applyNumberFormat="1" applyFont="1" applyFill="1"/>
    <xf numFmtId="0" fontId="7" fillId="0" borderId="2" xfId="0" applyFont="1" applyBorder="1" applyAlignment="1">
      <alignment horizontal="center" vertical="center" wrapText="1"/>
    </xf>
    <xf numFmtId="10" fontId="0" fillId="0" borderId="0" xfId="0" applyNumberFormat="1"/>
    <xf numFmtId="10" fontId="0" fillId="0" borderId="0" xfId="2" applyNumberFormat="1" applyFont="1"/>
    <xf numFmtId="165" fontId="5" fillId="2" borderId="0" xfId="0" applyNumberFormat="1" applyFont="1" applyFill="1"/>
    <xf numFmtId="10" fontId="10" fillId="0" borderId="0" xfId="0" applyNumberFormat="1" applyFont="1"/>
    <xf numFmtId="10" fontId="12" fillId="0" borderId="3" xfId="0" applyNumberFormat="1" applyFont="1" applyBorder="1" applyAlignment="1">
      <alignment horizontal="center" vertical="center" wrapText="1"/>
    </xf>
    <xf numFmtId="10" fontId="12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0" fontId="14" fillId="3" borderId="0" xfId="0" applyNumberFormat="1" applyFont="1" applyFill="1"/>
    <xf numFmtId="9" fontId="0" fillId="0" borderId="0" xfId="0" applyNumberFormat="1"/>
    <xf numFmtId="166" fontId="0" fillId="0" borderId="0" xfId="0" applyNumberFormat="1"/>
    <xf numFmtId="10" fontId="12" fillId="0" borderId="5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4" fontId="8" fillId="0" borderId="2" xfId="3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/>
    <xf numFmtId="43" fontId="17" fillId="0" borderId="0" xfId="1" applyFont="1" applyFill="1" applyBorder="1"/>
    <xf numFmtId="0" fontId="16" fillId="0" borderId="0" xfId="0" applyFont="1" applyFill="1" applyBorder="1"/>
    <xf numFmtId="44" fontId="9" fillId="0" borderId="0" xfId="3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44" fontId="18" fillId="0" borderId="0" xfId="3" applyFont="1" applyFill="1" applyBorder="1" applyAlignment="1" applyProtection="1">
      <alignment vertical="center"/>
    </xf>
    <xf numFmtId="44" fontId="18" fillId="0" borderId="0" xfId="3" applyFont="1" applyFill="1" applyBorder="1" applyAlignment="1" applyProtection="1">
      <alignment vertical="center"/>
      <protection locked="0"/>
    </xf>
    <xf numFmtId="10" fontId="19" fillId="0" borderId="0" xfId="4" applyNumberFormat="1" applyFont="1" applyFill="1" applyBorder="1" applyAlignment="1" applyProtection="1">
      <alignment horizontal="center" vertical="center" wrapText="1"/>
      <protection locked="0"/>
    </xf>
    <xf numFmtId="43" fontId="20" fillId="0" borderId="0" xfId="1" applyFont="1" applyFill="1" applyBorder="1" applyProtection="1"/>
    <xf numFmtId="0" fontId="16" fillId="0" borderId="0" xfId="0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center" vertical="center" wrapText="1"/>
    </xf>
    <xf numFmtId="44" fontId="18" fillId="0" borderId="0" xfId="0" applyNumberFormat="1" applyFont="1" applyFill="1" applyBorder="1" applyAlignment="1" applyProtection="1">
      <alignment vertical="center"/>
    </xf>
    <xf numFmtId="44" fontId="18" fillId="0" borderId="0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3" fontId="5" fillId="2" borderId="2" xfId="1" applyFont="1" applyFill="1" applyBorder="1"/>
    <xf numFmtId="10" fontId="3" fillId="3" borderId="2" xfId="0" applyNumberFormat="1" applyFont="1" applyFill="1" applyBorder="1"/>
    <xf numFmtId="164" fontId="16" fillId="0" borderId="0" xfId="0" applyNumberFormat="1" applyFont="1" applyFill="1" applyBorder="1"/>
    <xf numFmtId="10" fontId="20" fillId="0" borderId="0" xfId="4" applyNumberFormat="1" applyFont="1" applyFill="1" applyBorder="1" applyAlignment="1" applyProtection="1">
      <alignment horizontal="center" vertical="center" wrapText="1"/>
      <protection locked="0"/>
    </xf>
    <xf numFmtId="165" fontId="16" fillId="0" borderId="0" xfId="2" applyNumberFormat="1" applyFont="1" applyFill="1" applyBorder="1"/>
    <xf numFmtId="165" fontId="16" fillId="0" borderId="0" xfId="0" applyNumberFormat="1" applyFont="1" applyFill="1" applyBorder="1"/>
    <xf numFmtId="167" fontId="16" fillId="0" borderId="0" xfId="2" applyNumberFormat="1" applyFont="1" applyFill="1" applyBorder="1"/>
    <xf numFmtId="10" fontId="16" fillId="0" borderId="0" xfId="2" applyNumberFormat="1" applyFont="1" applyFill="1" applyBorder="1"/>
    <xf numFmtId="10" fontId="16" fillId="0" borderId="0" xfId="0" applyNumberFormat="1" applyFont="1" applyFill="1" applyBorder="1"/>
    <xf numFmtId="166" fontId="16" fillId="0" borderId="0" xfId="2" applyNumberFormat="1" applyFont="1" applyFill="1" applyBorder="1"/>
    <xf numFmtId="168" fontId="16" fillId="0" borderId="0" xfId="0" applyNumberFormat="1" applyFont="1" applyFill="1" applyBorder="1"/>
    <xf numFmtId="167" fontId="16" fillId="0" borderId="0" xfId="0" applyNumberFormat="1" applyFont="1" applyFill="1" applyBorder="1"/>
    <xf numFmtId="0" fontId="21" fillId="0" borderId="0" xfId="0" applyFont="1" applyFill="1" applyBorder="1"/>
    <xf numFmtId="169" fontId="21" fillId="0" borderId="0" xfId="1" applyNumberFormat="1" applyFont="1" applyFill="1" applyBorder="1"/>
    <xf numFmtId="165" fontId="17" fillId="0" borderId="0" xfId="0" applyNumberFormat="1" applyFont="1" applyFill="1" applyBorder="1"/>
    <xf numFmtId="9" fontId="16" fillId="0" borderId="0" xfId="0" applyNumberFormat="1" applyFont="1" applyFill="1" applyBorder="1"/>
    <xf numFmtId="166" fontId="16" fillId="0" borderId="0" xfId="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5">
    <cellStyle name="Moeda" xfId="3" builtinId="4"/>
    <cellStyle name="Normal" xfId="0" builtinId="0"/>
    <cellStyle name="Normal 2" xfId="4"/>
    <cellStyle name="Porcentagem" xfId="2" builtinId="5"/>
    <cellStyle name="Vírgula" xfId="1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b/>
        <i/>
        <color rgb="FFFFFF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b/>
        <i/>
        <color rgb="FFFFFF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b/>
        <i/>
        <color rgb="FFFFFF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b/>
        <i/>
        <color rgb="FFFFFF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b/>
        <i/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zoomScaleNormal="100" workbookViewId="0">
      <selection activeCell="D2" sqref="D2:I2"/>
    </sheetView>
  </sheetViews>
  <sheetFormatPr defaultRowHeight="15" x14ac:dyDescent="0.25"/>
  <cols>
    <col min="1" max="1" width="19.28515625" customWidth="1"/>
    <col min="2" max="2" width="23.85546875" customWidth="1"/>
    <col min="3" max="3" width="15.5703125" bestFit="1" customWidth="1"/>
    <col min="4" max="4" width="16" bestFit="1" customWidth="1"/>
    <col min="5" max="6" width="16" customWidth="1"/>
    <col min="7" max="7" width="13.42578125" bestFit="1" customWidth="1"/>
    <col min="8" max="9" width="11.42578125" bestFit="1" customWidth="1"/>
    <col min="10" max="10" width="9.85546875" bestFit="1" customWidth="1"/>
    <col min="11" max="12" width="9.140625" bestFit="1" customWidth="1"/>
    <col min="13" max="13" width="11.5703125" bestFit="1" customWidth="1"/>
    <col min="14" max="14" width="7.140625" bestFit="1" customWidth="1"/>
  </cols>
  <sheetData>
    <row r="2" spans="1:13" ht="15.75" x14ac:dyDescent="0.25">
      <c r="B2" s="23" t="s">
        <v>6</v>
      </c>
      <c r="C2" s="24" t="s">
        <v>18</v>
      </c>
      <c r="D2" s="25" t="s">
        <v>19</v>
      </c>
      <c r="E2" s="25"/>
      <c r="F2" s="25"/>
      <c r="G2" s="25"/>
      <c r="H2" s="25"/>
      <c r="I2" s="25"/>
    </row>
    <row r="3" spans="1:13" ht="21" x14ac:dyDescent="0.25">
      <c r="B3" s="41"/>
      <c r="C3" s="42"/>
      <c r="D3" s="43" t="s">
        <v>0</v>
      </c>
      <c r="E3" s="43" t="s">
        <v>1</v>
      </c>
      <c r="F3" s="43" t="s">
        <v>2</v>
      </c>
      <c r="G3" s="43" t="s">
        <v>3</v>
      </c>
      <c r="H3" s="43" t="s">
        <v>4</v>
      </c>
      <c r="I3" s="43" t="s">
        <v>5</v>
      </c>
    </row>
    <row r="4" spans="1:13" ht="47.25" x14ac:dyDescent="0.4">
      <c r="A4" s="44" t="s">
        <v>17</v>
      </c>
      <c r="B4" s="45">
        <v>3600000</v>
      </c>
      <c r="C4" s="46">
        <f>D16</f>
        <v>0.1188</v>
      </c>
      <c r="D4" s="46">
        <f>G19</f>
        <v>6.4999999999999997E-3</v>
      </c>
      <c r="E4" s="46">
        <f t="shared" ref="E4:I4" si="0">H19</f>
        <v>4.1999999999999997E-3</v>
      </c>
      <c r="F4" s="46">
        <f t="shared" si="0"/>
        <v>1.5100000000000001E-2</v>
      </c>
      <c r="G4" s="46">
        <f t="shared" si="0"/>
        <v>3.3E-3</v>
      </c>
      <c r="H4" s="46">
        <f t="shared" si="0"/>
        <v>4.99E-2</v>
      </c>
      <c r="I4" s="46">
        <f t="shared" si="0"/>
        <v>3.9800000000000002E-2</v>
      </c>
      <c r="M4" s="5"/>
    </row>
    <row r="5" spans="1:13" ht="26.25" x14ac:dyDescent="0.4">
      <c r="A5" s="26"/>
      <c r="B5" s="28"/>
      <c r="C5" s="27"/>
      <c r="D5" s="27"/>
      <c r="E5" s="27"/>
      <c r="F5" s="27"/>
      <c r="G5" s="27"/>
      <c r="H5" s="27"/>
      <c r="I5" s="27"/>
      <c r="J5" s="29"/>
      <c r="K5" s="29"/>
      <c r="L5" s="29"/>
      <c r="M5" s="5"/>
    </row>
    <row r="6" spans="1:13" ht="32.25" customHeight="1" x14ac:dyDescent="0.25">
      <c r="A6" s="29"/>
      <c r="B6" s="29"/>
      <c r="C6" s="29"/>
      <c r="D6" s="29"/>
      <c r="E6" s="29"/>
      <c r="F6" s="29"/>
      <c r="G6" s="30" t="s">
        <v>21</v>
      </c>
      <c r="H6" s="30"/>
      <c r="I6" s="30"/>
      <c r="J6" s="30"/>
      <c r="K6" s="30"/>
      <c r="L6" s="30"/>
    </row>
    <row r="7" spans="1:13" ht="30" x14ac:dyDescent="0.25">
      <c r="A7" s="29"/>
      <c r="B7" s="31" t="s">
        <v>7</v>
      </c>
      <c r="C7" s="31" t="s">
        <v>8</v>
      </c>
      <c r="D7" s="31" t="s">
        <v>20</v>
      </c>
      <c r="E7" s="31" t="s">
        <v>9</v>
      </c>
      <c r="F7" s="29"/>
      <c r="G7" s="31" t="s">
        <v>0</v>
      </c>
      <c r="H7" s="31" t="s">
        <v>1</v>
      </c>
      <c r="I7" s="31" t="s">
        <v>2</v>
      </c>
      <c r="J7" s="31" t="s">
        <v>3</v>
      </c>
      <c r="K7" s="31" t="s">
        <v>4</v>
      </c>
      <c r="L7" s="31" t="s">
        <v>5</v>
      </c>
    </row>
    <row r="8" spans="1:13" x14ac:dyDescent="0.25">
      <c r="A8" s="32" t="s">
        <v>10</v>
      </c>
      <c r="B8" s="33">
        <v>0</v>
      </c>
      <c r="C8" s="34">
        <v>180000</v>
      </c>
      <c r="D8" s="35">
        <v>0.04</v>
      </c>
      <c r="E8" s="36">
        <v>0</v>
      </c>
      <c r="F8" s="37" t="s">
        <v>10</v>
      </c>
      <c r="G8" s="38">
        <v>5.5E-2</v>
      </c>
      <c r="H8" s="38">
        <v>3.5000000000000003E-2</v>
      </c>
      <c r="I8" s="38">
        <v>0.12740000000000001</v>
      </c>
      <c r="J8" s="38">
        <v>2.76E-2</v>
      </c>
      <c r="K8" s="38">
        <v>0.41499999999999998</v>
      </c>
      <c r="L8" s="38">
        <v>0.34</v>
      </c>
    </row>
    <row r="9" spans="1:13" x14ac:dyDescent="0.25">
      <c r="A9" s="32" t="s">
        <v>11</v>
      </c>
      <c r="B9" s="39">
        <v>180000.01</v>
      </c>
      <c r="C9" s="40">
        <v>360000</v>
      </c>
      <c r="D9" s="35">
        <v>7.2999999999999995E-2</v>
      </c>
      <c r="E9" s="36">
        <v>5940</v>
      </c>
      <c r="F9" s="37" t="s">
        <v>11</v>
      </c>
      <c r="G9" s="38">
        <v>5.5E-2</v>
      </c>
      <c r="H9" s="38">
        <v>3.5000000000000003E-2</v>
      </c>
      <c r="I9" s="38">
        <v>0.12740000000000001</v>
      </c>
      <c r="J9" s="38">
        <v>2.76E-2</v>
      </c>
      <c r="K9" s="38">
        <v>0.41499999999999998</v>
      </c>
      <c r="L9" s="38">
        <v>0.34</v>
      </c>
    </row>
    <row r="10" spans="1:13" x14ac:dyDescent="0.25">
      <c r="A10" s="32" t="s">
        <v>12</v>
      </c>
      <c r="B10" s="39">
        <v>360000.01</v>
      </c>
      <c r="C10" s="40">
        <v>720000</v>
      </c>
      <c r="D10" s="35">
        <v>9.5000000000000001E-2</v>
      </c>
      <c r="E10" s="36">
        <v>13860</v>
      </c>
      <c r="F10" s="37" t="s">
        <v>12</v>
      </c>
      <c r="G10" s="38">
        <v>5.5E-2</v>
      </c>
      <c r="H10" s="38">
        <v>3.5000000000000003E-2</v>
      </c>
      <c r="I10" s="38">
        <v>0.12740000000000001</v>
      </c>
      <c r="J10" s="38">
        <v>2.76E-2</v>
      </c>
      <c r="K10" s="38">
        <v>0.42</v>
      </c>
      <c r="L10" s="38">
        <v>0.33500000000000002</v>
      </c>
    </row>
    <row r="11" spans="1:13" x14ac:dyDescent="0.25">
      <c r="A11" s="32" t="s">
        <v>13</v>
      </c>
      <c r="B11" s="39">
        <v>720000.01</v>
      </c>
      <c r="C11" s="40">
        <v>1800000</v>
      </c>
      <c r="D11" s="35">
        <v>0.107</v>
      </c>
      <c r="E11" s="36">
        <v>22500</v>
      </c>
      <c r="F11" s="37" t="s">
        <v>13</v>
      </c>
      <c r="G11" s="38">
        <v>5.5E-2</v>
      </c>
      <c r="H11" s="38">
        <v>3.5000000000000003E-2</v>
      </c>
      <c r="I11" s="38">
        <v>0.12740000000000001</v>
      </c>
      <c r="J11" s="38">
        <v>2.76E-2</v>
      </c>
      <c r="K11" s="38">
        <v>0.42</v>
      </c>
      <c r="L11" s="38">
        <v>0.33500000000000002</v>
      </c>
    </row>
    <row r="12" spans="1:13" x14ac:dyDescent="0.25">
      <c r="A12" s="32" t="s">
        <v>14</v>
      </c>
      <c r="B12" s="39">
        <v>1800000.01</v>
      </c>
      <c r="C12" s="40">
        <v>3600000</v>
      </c>
      <c r="D12" s="35">
        <v>0.14299999999999999</v>
      </c>
      <c r="E12" s="36">
        <v>87300</v>
      </c>
      <c r="F12" s="37" t="s">
        <v>14</v>
      </c>
      <c r="G12" s="38">
        <v>5.5E-2</v>
      </c>
      <c r="H12" s="38">
        <v>3.5000000000000003E-2</v>
      </c>
      <c r="I12" s="38">
        <v>0.12740000000000001</v>
      </c>
      <c r="J12" s="38">
        <v>2.76E-2</v>
      </c>
      <c r="K12" s="38">
        <v>0.42</v>
      </c>
      <c r="L12" s="38">
        <v>0.33500000000000002</v>
      </c>
    </row>
    <row r="13" spans="1:13" x14ac:dyDescent="0.25">
      <c r="A13" s="32" t="s">
        <v>15</v>
      </c>
      <c r="B13" s="39">
        <v>3600000.01</v>
      </c>
      <c r="C13" s="39">
        <v>4800000</v>
      </c>
      <c r="D13" s="35">
        <v>0.19</v>
      </c>
      <c r="E13" s="36">
        <v>378000</v>
      </c>
      <c r="F13" s="37" t="s">
        <v>15</v>
      </c>
      <c r="G13" s="38">
        <v>0.13500000000000001</v>
      </c>
      <c r="H13" s="38">
        <v>0.1</v>
      </c>
      <c r="I13" s="38">
        <v>0.28270000000000001</v>
      </c>
      <c r="J13" s="38">
        <v>6.13E-2</v>
      </c>
      <c r="K13" s="38">
        <v>0.42099999999999999</v>
      </c>
      <c r="L13" s="38">
        <v>0</v>
      </c>
    </row>
    <row r="14" spans="1:13" x14ac:dyDescent="0.25">
      <c r="A14" s="6"/>
      <c r="B14" s="2"/>
      <c r="C14" s="3"/>
    </row>
    <row r="15" spans="1:13" hidden="1" x14ac:dyDescent="0.25">
      <c r="A15" s="6" t="s">
        <v>10</v>
      </c>
      <c r="B15" s="2" t="b">
        <f t="shared" ref="B15:B20" si="1">IF(AND($B$4&gt;=B8,$B$4&lt;=C8),($B$4*D8-E8)/$B$4)</f>
        <v>0</v>
      </c>
      <c r="C15" s="3">
        <f t="shared" ref="C15" si="2">ROUND(B15,5)</f>
        <v>0</v>
      </c>
      <c r="D15" s="2">
        <f>IF(AND($B$4&gt;=B8,$B$4&lt;=C8),C15,IF(AND($B$4&gt;=B9,$B$4&lt;=C9),C16,IF(AND($B$4&gt;=B10,$B$4&lt;=C10),C17,IF(AND($B$4&gt;=B11,$B$4&lt;=C11),C18,IF(AND($B$4&gt;=B12,$B$4&lt;=C12),C19,IF(AND($B$4&gt;=B13,$B$4&lt;=C13),C20,IF(AND($B$4&gt;=#REF!,$B$4&lt;=#REF!),#REF!,IF(AND($B$4&gt;#REF!),C21))))))))</f>
        <v>0.11874999999999999</v>
      </c>
      <c r="G15" s="9" t="s">
        <v>0</v>
      </c>
      <c r="H15" s="9" t="s">
        <v>1</v>
      </c>
      <c r="I15" s="9" t="s">
        <v>2</v>
      </c>
      <c r="J15" s="9" t="s">
        <v>3</v>
      </c>
      <c r="K15" s="9" t="s">
        <v>4</v>
      </c>
      <c r="L15" s="9" t="s">
        <v>5</v>
      </c>
    </row>
    <row r="16" spans="1:13" hidden="1" x14ac:dyDescent="0.25">
      <c r="A16" s="6" t="s">
        <v>11</v>
      </c>
      <c r="B16" s="2" t="b">
        <f t="shared" si="1"/>
        <v>0</v>
      </c>
      <c r="C16" s="3">
        <f>ROUND(B16,5)</f>
        <v>0</v>
      </c>
      <c r="D16" s="2">
        <f>ROUND(D15,4)</f>
        <v>0.1188</v>
      </c>
      <c r="G16" s="4">
        <f>IF(AND($B$4&gt;=$B$8,$B$4&lt;=$C$8),$C$4*G8,IF(AND($B$4&gt;=$B$9,$B$4&lt;=$C$9),$C$4*G9,IF(AND($B$4&gt;=$B$10,$B$4&lt;=$C$10),$C$4*G10,IF(AND($B$4&gt;=$B$11,$B$4&lt;=$C$11),$C$4*G11,IF(AND($B$4&gt;=$B$12,$B$4&lt;=$C$12),$C$4*G12,IF(AND($B$4&gt;=$B$13,$B$4&lt;=$C$13),$C$4*G13,))))))</f>
        <v>6.5339999999999999E-3</v>
      </c>
      <c r="H16" s="4">
        <f>IF(AND($B$4&gt;=$B$8,$B$4&lt;=$C$8),$C$4*H8,IF(AND($B$4&gt;=$B$9,$B$4&lt;=$C$9),$C$4*H9,IF(AND($B$4&gt;=$B$10,$B$4&lt;=$C$10),$C$4*H10,IF(AND($B$4&gt;=$B$11,$B$4&lt;=$C$11),$C$4*H11,IF(AND($B$4&gt;=$B$12,$B$4&lt;=$C$12),$C$4*H12,IF(AND($B$4&gt;=$B$13,$B$4&lt;=$C$13),$C$4*H13,IF(AND($B$4&gt;=#REF!,$B$4&lt;=#REF!),$C$4*#REF!,IF(AND($B$4&gt;#REF!),$C$4*#REF!))))))))</f>
        <v>4.1580000000000002E-3</v>
      </c>
      <c r="I16" s="4">
        <f>IF(AND($B$4&gt;=$B$8,$B$4&lt;=$C$8),$C$4*I8,IF(AND($B$4&gt;=$B$9,$B$4&lt;=$C$9),$C$4*I9,IF(AND($B$4&gt;=$B$10,$B$4&lt;=$C$10),$C$4*I10,IF(AND($B$4&gt;=$B$11,$B$4&lt;=$C$11),$C$4*I11,IF(AND($B$4&gt;=$B$12,$B$4&lt;=$C$12),$C$4*I12,IF(AND($B$4&gt;=$B$13,$B$4&lt;=$C$13),$C$4*I13,IF(AND($B$4&gt;=#REF!,$B$4&lt;=#REF!),$C$4*#REF!,IF(AND($B$4&gt;#REF!),$C$4*#REF!))))))))</f>
        <v>1.5135120000000002E-2</v>
      </c>
      <c r="J16" s="4">
        <f>IF(AND($B$4&gt;=$B$8,$B$4&lt;=$C$8),$C$4*J8,IF(AND($B$4&gt;=$B$9,$B$4&lt;=$C$9),$C$4*J9,IF(AND($B$4&gt;=$B$10,$B$4&lt;=$C$10),$C$4*J10,IF(AND($B$4&gt;=$B$11,$B$4&lt;=$C$11),$C$4*J11,IF(AND($B$4&gt;=$B$12,$B$4&lt;=$C$12),$C$4*J12,IF(AND($B$4&gt;=$B$13,$B$4&lt;=$C$13),$C$4*J13,IF(AND($B$4&gt;=#REF!,$B$4&lt;=#REF!),$C$4*#REF!,IF(AND($B$4&gt;#REF!),$C$4*#REF!))))))))</f>
        <v>3.2788800000000001E-3</v>
      </c>
      <c r="K16" s="4">
        <f>IF(AND($B$4&gt;=$B$8,$B$4&lt;=$C$8),$C$4*K8,IF(AND($B$4&gt;=$B$9,$B$4&lt;=$C$9),$C$4*K9,IF(AND($B$4&gt;=$B$10,$B$4&lt;=$C$10),$C$4*K10,IF(AND($B$4&gt;=$B$11,$B$4&lt;=$C$11),$C$4*K11,IF(AND($B$4&gt;=$B$12,$B$4&lt;=$C$12),$C$4*K12,IF(AND($B$4&gt;=$B$13,$B$4&lt;=$C$13),$C$4*K13,IF(AND($B$4&gt;=#REF!,$B$4&lt;=#REF!),$C$4*#REF!,IF(AND($B$4&gt;#REF!),$C$4*#REF!))))))))</f>
        <v>4.9895999999999996E-2</v>
      </c>
      <c r="L16" s="4">
        <f>IF(AND($B$4&gt;=$B$8,$B$4&lt;=$C$8),$C$4*L8,IF(AND($B$4&gt;=$B$9,$B$4&lt;=$C$9),$C$4*L9,IF(AND($B$4&gt;=$B$10,$B$4&lt;=$C$10),$C$4*L10,IF(AND($B$4&gt;=$B$11,$B$4&lt;=$C$11),$C$4*L11,IF(AND($B$4&gt;=$B$12,$B$4&lt;=$C$12),$C$4*L12,IF(AND($B$4&gt;=$B$13,$B$4&lt;=$C$13),$C$4*L13,IF(AND($B$4&gt;=#REF!,$B$4&lt;=#REF!),$C$4*#REF!,IF(AND($B$4&gt;#REF!),$C$4*#REF!))))))))</f>
        <v>3.9798E-2</v>
      </c>
    </row>
    <row r="17" spans="1:14" hidden="1" x14ac:dyDescent="0.25">
      <c r="A17" s="6" t="s">
        <v>12</v>
      </c>
      <c r="B17" s="2" t="b">
        <f t="shared" si="1"/>
        <v>0</v>
      </c>
      <c r="C17" s="3">
        <f t="shared" ref="C17:C20" si="3">ROUND(B17,5)</f>
        <v>0</v>
      </c>
      <c r="G17" s="11">
        <f>ROUND(G16,4)</f>
        <v>6.4999999999999997E-3</v>
      </c>
      <c r="H17" s="11">
        <f t="shared" ref="H17:L17" si="4">ROUND(H16,4)</f>
        <v>4.1999999999999997E-3</v>
      </c>
      <c r="I17" s="11">
        <f t="shared" si="4"/>
        <v>1.5100000000000001E-2</v>
      </c>
      <c r="J17" s="11">
        <f t="shared" si="4"/>
        <v>3.3E-3</v>
      </c>
      <c r="K17" s="11">
        <f t="shared" si="4"/>
        <v>4.99E-2</v>
      </c>
      <c r="L17" s="11">
        <f t="shared" si="4"/>
        <v>3.9800000000000002E-2</v>
      </c>
      <c r="M17" s="3">
        <f>SUM(G17:L17)</f>
        <v>0.1188</v>
      </c>
      <c r="N17" s="3">
        <f>C4-M17</f>
        <v>0</v>
      </c>
    </row>
    <row r="18" spans="1:14" ht="23.25" hidden="1" x14ac:dyDescent="0.35">
      <c r="A18" s="6" t="s">
        <v>13</v>
      </c>
      <c r="B18" s="2" t="b">
        <f t="shared" si="1"/>
        <v>0</v>
      </c>
      <c r="C18" s="3">
        <f t="shared" si="3"/>
        <v>0</v>
      </c>
      <c r="G18" s="10">
        <f t="shared" ref="G18:L18" si="5">IF(G17=MAX($G$17:$L$17),(G17+$N$17),IF(G17&lt;&gt;MAX($G$17:$L$17),G17))</f>
        <v>6.4999999999999997E-3</v>
      </c>
      <c r="H18" s="10">
        <f t="shared" si="5"/>
        <v>4.1999999999999997E-3</v>
      </c>
      <c r="I18" s="10">
        <f t="shared" si="5"/>
        <v>1.5100000000000001E-2</v>
      </c>
      <c r="J18" s="10">
        <f t="shared" si="5"/>
        <v>3.3E-3</v>
      </c>
      <c r="K18" s="10">
        <f t="shared" si="5"/>
        <v>4.99E-2</v>
      </c>
      <c r="L18" s="10">
        <f t="shared" si="5"/>
        <v>3.9800000000000002E-2</v>
      </c>
      <c r="M18" s="12">
        <f>SUM(G18:L18)</f>
        <v>0.1188</v>
      </c>
    </row>
    <row r="19" spans="1:14" ht="23.25" hidden="1" x14ac:dyDescent="0.35">
      <c r="A19" s="6" t="s">
        <v>14</v>
      </c>
      <c r="B19" s="2">
        <f t="shared" si="1"/>
        <v>0.11874999999999998</v>
      </c>
      <c r="C19" s="3">
        <f t="shared" si="3"/>
        <v>0.11874999999999999</v>
      </c>
      <c r="G19" s="10">
        <f>ROUND(G18,4)</f>
        <v>6.4999999999999997E-3</v>
      </c>
      <c r="H19" s="10">
        <f t="shared" ref="H19:L19" si="6">ROUND(H18,4)</f>
        <v>4.1999999999999997E-3</v>
      </c>
      <c r="I19" s="10">
        <f t="shared" si="6"/>
        <v>1.5100000000000001E-2</v>
      </c>
      <c r="J19" s="10">
        <f t="shared" si="6"/>
        <v>3.3E-3</v>
      </c>
      <c r="K19" s="10">
        <f t="shared" si="6"/>
        <v>4.99E-2</v>
      </c>
      <c r="L19" s="10">
        <f t="shared" si="6"/>
        <v>3.9800000000000002E-2</v>
      </c>
      <c r="M19" s="7" t="str">
        <f>IF(C4=M18,"OK")</f>
        <v>OK</v>
      </c>
    </row>
    <row r="20" spans="1:14" hidden="1" x14ac:dyDescent="0.25">
      <c r="A20" s="6" t="s">
        <v>15</v>
      </c>
      <c r="B20" s="2" t="b">
        <f t="shared" si="1"/>
        <v>0</v>
      </c>
      <c r="C20" s="3">
        <f t="shared" si="3"/>
        <v>0</v>
      </c>
      <c r="G20" s="13">
        <f>G19-G17</f>
        <v>0</v>
      </c>
      <c r="H20" s="13">
        <f t="shared" ref="H20:L20" si="7">H19-H17</f>
        <v>0</v>
      </c>
      <c r="I20" s="13">
        <f t="shared" si="7"/>
        <v>0</v>
      </c>
      <c r="J20" s="13">
        <f t="shared" si="7"/>
        <v>0</v>
      </c>
      <c r="K20" s="13">
        <f t="shared" si="7"/>
        <v>0</v>
      </c>
      <c r="L20" s="13">
        <f t="shared" si="7"/>
        <v>0</v>
      </c>
    </row>
    <row r="21" spans="1:14" hidden="1" x14ac:dyDescent="0.25">
      <c r="A21" s="6"/>
      <c r="B21" s="2"/>
      <c r="C21" s="3"/>
    </row>
  </sheetData>
  <mergeCells count="4">
    <mergeCell ref="B2:B3"/>
    <mergeCell ref="C2:C3"/>
    <mergeCell ref="D2:I2"/>
    <mergeCell ref="G6:L6"/>
  </mergeCells>
  <conditionalFormatting sqref="G20:L20">
    <cfRule type="expression" dxfId="19" priority="4">
      <formula>"SE+$G$19&lt;&gt;0"</formula>
    </cfRule>
  </conditionalFormatting>
  <conditionalFormatting sqref="G20:L20">
    <cfRule type="cellIs" dxfId="18" priority="1" operator="notEqual">
      <formula>0</formula>
    </cfRule>
    <cfRule type="cellIs" dxfId="17" priority="2" operator="lessThan">
      <formula>0</formula>
    </cfRule>
    <cfRule type="cellIs" dxfId="16" priority="3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zoomScaleNormal="100" workbookViewId="0">
      <selection activeCell="C7" sqref="C7"/>
    </sheetView>
  </sheetViews>
  <sheetFormatPr defaultRowHeight="15" x14ac:dyDescent="0.25"/>
  <cols>
    <col min="1" max="1" width="21.85546875" customWidth="1"/>
    <col min="2" max="2" width="23.42578125" bestFit="1" customWidth="1"/>
    <col min="3" max="3" width="15.5703125" bestFit="1" customWidth="1"/>
    <col min="4" max="4" width="13.42578125" bestFit="1" customWidth="1"/>
    <col min="5" max="5" width="13.42578125" customWidth="1"/>
    <col min="6" max="6" width="11.42578125" bestFit="1" customWidth="1"/>
    <col min="7" max="7" width="13.7109375" bestFit="1" customWidth="1"/>
    <col min="8" max="10" width="11.42578125" bestFit="1" customWidth="1"/>
    <col min="11" max="13" width="9.5703125" bestFit="1" customWidth="1"/>
    <col min="15" max="15" width="18.7109375" bestFit="1" customWidth="1"/>
  </cols>
  <sheetData>
    <row r="2" spans="1:22" ht="15.75" x14ac:dyDescent="0.25">
      <c r="B2" s="23" t="s">
        <v>6</v>
      </c>
      <c r="C2" s="24" t="s">
        <v>18</v>
      </c>
      <c r="D2" s="25" t="s">
        <v>19</v>
      </c>
      <c r="E2" s="25"/>
      <c r="F2" s="25"/>
      <c r="G2" s="25"/>
      <c r="H2" s="25"/>
      <c r="I2" s="25"/>
    </row>
    <row r="3" spans="1:22" ht="21" x14ac:dyDescent="0.25">
      <c r="B3" s="41"/>
      <c r="C3" s="42"/>
      <c r="D3" s="43" t="s">
        <v>0</v>
      </c>
      <c r="E3" s="43" t="s">
        <v>1</v>
      </c>
      <c r="F3" s="43" t="s">
        <v>2</v>
      </c>
      <c r="G3" s="43" t="s">
        <v>3</v>
      </c>
      <c r="H3" s="43" t="s">
        <v>4</v>
      </c>
      <c r="I3" s="43" t="s">
        <v>22</v>
      </c>
      <c r="J3" s="43" t="s">
        <v>5</v>
      </c>
    </row>
    <row r="4" spans="1:22" ht="31.5" x14ac:dyDescent="0.4">
      <c r="A4" s="44" t="s">
        <v>17</v>
      </c>
      <c r="B4" s="45">
        <v>180000</v>
      </c>
      <c r="C4" s="46">
        <f>D16</f>
        <v>4.4999999999999998E-2</v>
      </c>
      <c r="D4" s="46">
        <f>G19</f>
        <v>2.5000000000000001E-3</v>
      </c>
      <c r="E4" s="46">
        <f t="shared" ref="E4:J4" si="0">H19</f>
        <v>1.6000000000000001E-3</v>
      </c>
      <c r="F4" s="46">
        <f t="shared" si="0"/>
        <v>5.1999999999999998E-3</v>
      </c>
      <c r="G4" s="46">
        <f t="shared" si="0"/>
        <v>1.1000000000000001E-3</v>
      </c>
      <c r="H4" s="46">
        <f t="shared" si="0"/>
        <v>1.6799999999999999E-2</v>
      </c>
      <c r="I4" s="46">
        <f t="shared" si="0"/>
        <v>3.3999999999999998E-3</v>
      </c>
      <c r="J4" s="46">
        <f t="shared" si="0"/>
        <v>1.44E-2</v>
      </c>
      <c r="M4" s="5"/>
    </row>
    <row r="5" spans="1:22" ht="26.25" x14ac:dyDescent="0.4">
      <c r="A5" s="26"/>
      <c r="B5" s="28"/>
      <c r="C5" s="27"/>
      <c r="D5" s="27"/>
      <c r="E5" s="27"/>
      <c r="F5" s="27"/>
      <c r="G5" s="27"/>
      <c r="H5" s="27"/>
      <c r="I5" s="27"/>
      <c r="J5" s="27"/>
      <c r="K5" s="29"/>
      <c r="L5" s="29"/>
      <c r="M5" s="47"/>
    </row>
    <row r="6" spans="1:22" ht="32.25" customHeight="1" x14ac:dyDescent="0.25">
      <c r="A6" s="29"/>
      <c r="B6" s="31" t="s">
        <v>7</v>
      </c>
      <c r="C6" s="31" t="s">
        <v>8</v>
      </c>
      <c r="D6" s="31" t="s">
        <v>20</v>
      </c>
      <c r="E6" s="31" t="s">
        <v>9</v>
      </c>
      <c r="F6" s="29"/>
      <c r="G6" s="30" t="s">
        <v>21</v>
      </c>
      <c r="H6" s="30"/>
      <c r="I6" s="30"/>
      <c r="J6" s="30"/>
      <c r="K6" s="30"/>
      <c r="L6" s="30"/>
      <c r="M6" s="29"/>
    </row>
    <row r="7" spans="1:22" x14ac:dyDescent="0.25">
      <c r="A7" s="29"/>
      <c r="B7" s="29"/>
      <c r="C7" s="29"/>
      <c r="D7" s="29"/>
      <c r="E7" s="29"/>
      <c r="F7" s="29"/>
      <c r="G7" s="31" t="s">
        <v>0</v>
      </c>
      <c r="H7" s="31" t="s">
        <v>1</v>
      </c>
      <c r="I7" s="31" t="s">
        <v>2</v>
      </c>
      <c r="J7" s="31" t="s">
        <v>3</v>
      </c>
      <c r="K7" s="31" t="s">
        <v>4</v>
      </c>
      <c r="L7" s="31" t="s">
        <v>22</v>
      </c>
      <c r="M7" s="31" t="s">
        <v>5</v>
      </c>
    </row>
    <row r="8" spans="1:22" ht="15.75" thickBot="1" x14ac:dyDescent="0.3">
      <c r="A8" s="32" t="s">
        <v>10</v>
      </c>
      <c r="B8" s="33">
        <v>0</v>
      </c>
      <c r="C8" s="34">
        <v>180000</v>
      </c>
      <c r="D8" s="48">
        <v>4.4999999999999998E-2</v>
      </c>
      <c r="E8" s="36">
        <v>0</v>
      </c>
      <c r="F8" s="37" t="s">
        <v>10</v>
      </c>
      <c r="G8" s="38">
        <v>5.5E-2</v>
      </c>
      <c r="H8" s="38">
        <v>3.5000000000000003E-2</v>
      </c>
      <c r="I8" s="38">
        <v>0.11509999999999999</v>
      </c>
      <c r="J8" s="38">
        <v>2.4899999999999999E-2</v>
      </c>
      <c r="K8" s="38">
        <v>0.375</v>
      </c>
      <c r="L8" s="38">
        <v>7.4999999999999997E-2</v>
      </c>
      <c r="M8" s="38">
        <v>0.32</v>
      </c>
      <c r="P8" s="1">
        <v>5.5E-2</v>
      </c>
      <c r="Q8" s="1">
        <v>3.5000000000000003E-2</v>
      </c>
      <c r="R8" s="1">
        <v>0.11509999999999999</v>
      </c>
      <c r="S8" s="1">
        <v>2.4899999999999999E-2</v>
      </c>
      <c r="T8" s="1">
        <v>0.375</v>
      </c>
      <c r="U8" s="1">
        <v>7.4999999999999997E-2</v>
      </c>
      <c r="V8" s="1">
        <v>0.32</v>
      </c>
    </row>
    <row r="9" spans="1:22" ht="15.75" thickBot="1" x14ac:dyDescent="0.3">
      <c r="A9" s="32" t="s">
        <v>11</v>
      </c>
      <c r="B9" s="39">
        <v>180000.01</v>
      </c>
      <c r="C9" s="40">
        <v>360000</v>
      </c>
      <c r="D9" s="48">
        <v>7.8E-2</v>
      </c>
      <c r="E9" s="36">
        <v>5940</v>
      </c>
      <c r="F9" s="37" t="s">
        <v>11</v>
      </c>
      <c r="G9" s="38">
        <v>5.5E-2</v>
      </c>
      <c r="H9" s="38">
        <v>3.5000000000000003E-2</v>
      </c>
      <c r="I9" s="38">
        <v>0.11509999999999999</v>
      </c>
      <c r="J9" s="38">
        <v>2.4899999999999999E-2</v>
      </c>
      <c r="K9" s="38">
        <v>0.375</v>
      </c>
      <c r="L9" s="38">
        <v>7.4999999999999997E-2</v>
      </c>
      <c r="M9" s="38">
        <v>0.32</v>
      </c>
      <c r="P9" s="1">
        <v>5.5E-2</v>
      </c>
      <c r="Q9" s="1">
        <v>3.5000000000000003E-2</v>
      </c>
      <c r="R9" s="1">
        <v>0.11509999999999999</v>
      </c>
      <c r="S9" s="1">
        <v>2.4899999999999999E-2</v>
      </c>
      <c r="T9" s="1">
        <v>0.375</v>
      </c>
      <c r="U9" s="1">
        <v>7.4999999999999997E-2</v>
      </c>
      <c r="V9" s="1">
        <v>0.32</v>
      </c>
    </row>
    <row r="10" spans="1:22" ht="15.75" thickBot="1" x14ac:dyDescent="0.3">
      <c r="A10" s="32" t="s">
        <v>12</v>
      </c>
      <c r="B10" s="39">
        <v>360000.01</v>
      </c>
      <c r="C10" s="40">
        <v>720000</v>
      </c>
      <c r="D10" s="48">
        <v>0.1</v>
      </c>
      <c r="E10" s="36">
        <v>13860</v>
      </c>
      <c r="F10" s="37" t="s">
        <v>12</v>
      </c>
      <c r="G10" s="38">
        <v>5.5E-2</v>
      </c>
      <c r="H10" s="38">
        <v>3.5000000000000003E-2</v>
      </c>
      <c r="I10" s="38">
        <v>0.11509999999999999</v>
      </c>
      <c r="J10" s="38">
        <v>2.4899999999999999E-2</v>
      </c>
      <c r="K10" s="38">
        <v>0.375</v>
      </c>
      <c r="L10" s="38">
        <v>7.4999999999999997E-2</v>
      </c>
      <c r="M10" s="38">
        <v>0.32</v>
      </c>
      <c r="P10" s="1">
        <v>5.5E-2</v>
      </c>
      <c r="Q10" s="1">
        <v>3.5000000000000003E-2</v>
      </c>
      <c r="R10" s="1">
        <v>0.11509999999999999</v>
      </c>
      <c r="S10" s="1">
        <v>2.4899999999999999E-2</v>
      </c>
      <c r="T10" s="1">
        <v>0.375</v>
      </c>
      <c r="U10" s="1">
        <v>7.4999999999999997E-2</v>
      </c>
      <c r="V10" s="1">
        <v>0.32</v>
      </c>
    </row>
    <row r="11" spans="1:22" ht="15.75" thickBot="1" x14ac:dyDescent="0.3">
      <c r="A11" s="32" t="s">
        <v>13</v>
      </c>
      <c r="B11" s="39">
        <v>720000.01</v>
      </c>
      <c r="C11" s="40">
        <v>1800000</v>
      </c>
      <c r="D11" s="48">
        <v>0.112</v>
      </c>
      <c r="E11" s="36">
        <v>22500</v>
      </c>
      <c r="F11" s="37" t="s">
        <v>13</v>
      </c>
      <c r="G11" s="38">
        <v>5.5E-2</v>
      </c>
      <c r="H11" s="38">
        <v>3.5000000000000003E-2</v>
      </c>
      <c r="I11" s="38">
        <v>0.11509999999999999</v>
      </c>
      <c r="J11" s="38">
        <v>2.4899999999999999E-2</v>
      </c>
      <c r="K11" s="38">
        <v>0.375</v>
      </c>
      <c r="L11" s="38">
        <v>7.4999999999999997E-2</v>
      </c>
      <c r="M11" s="38">
        <v>0.32</v>
      </c>
      <c r="P11" s="1">
        <v>5.5E-2</v>
      </c>
      <c r="Q11" s="1">
        <v>3.5000000000000003E-2</v>
      </c>
      <c r="R11" s="1">
        <v>0.11509999999999999</v>
      </c>
      <c r="S11" s="1">
        <v>2.4899999999999999E-2</v>
      </c>
      <c r="T11" s="1">
        <v>0.375</v>
      </c>
      <c r="U11" s="1">
        <v>7.4999999999999997E-2</v>
      </c>
      <c r="V11" s="1">
        <v>0.32</v>
      </c>
    </row>
    <row r="12" spans="1:22" ht="15.75" thickBot="1" x14ac:dyDescent="0.3">
      <c r="A12" s="32" t="s">
        <v>14</v>
      </c>
      <c r="B12" s="39">
        <v>1800000.01</v>
      </c>
      <c r="C12" s="40">
        <v>3600000</v>
      </c>
      <c r="D12" s="48">
        <v>0.14699999999999999</v>
      </c>
      <c r="E12" s="36">
        <v>85500</v>
      </c>
      <c r="F12" s="37" t="s">
        <v>14</v>
      </c>
      <c r="G12" s="38">
        <v>5.5E-2</v>
      </c>
      <c r="H12" s="38">
        <v>3.5000000000000003E-2</v>
      </c>
      <c r="I12" s="38">
        <v>0.11509999999999999</v>
      </c>
      <c r="J12" s="38">
        <v>2.4899999999999999E-2</v>
      </c>
      <c r="K12" s="38">
        <v>0.375</v>
      </c>
      <c r="L12" s="38">
        <v>7.4999999999999997E-2</v>
      </c>
      <c r="M12" s="38">
        <v>0.32</v>
      </c>
      <c r="P12" s="1">
        <v>5.5E-2</v>
      </c>
      <c r="Q12" s="1">
        <v>3.5000000000000003E-2</v>
      </c>
      <c r="R12" s="1">
        <v>0.11509999999999999</v>
      </c>
      <c r="S12" s="1">
        <v>2.4899999999999999E-2</v>
      </c>
      <c r="T12" s="1">
        <v>0.375</v>
      </c>
      <c r="U12" s="1">
        <v>7.4999999999999997E-2</v>
      </c>
      <c r="V12" s="1">
        <v>0.32</v>
      </c>
    </row>
    <row r="13" spans="1:22" ht="15.75" thickBot="1" x14ac:dyDescent="0.3">
      <c r="A13" s="32" t="s">
        <v>15</v>
      </c>
      <c r="B13" s="39">
        <v>3600000.01</v>
      </c>
      <c r="C13" s="39">
        <v>4800000</v>
      </c>
      <c r="D13" s="48">
        <v>0.3</v>
      </c>
      <c r="E13" s="36">
        <v>720000</v>
      </c>
      <c r="F13" s="37" t="s">
        <v>15</v>
      </c>
      <c r="G13" s="38">
        <v>8.5000000000000006E-2</v>
      </c>
      <c r="H13" s="38">
        <v>7.4999999999999997E-2</v>
      </c>
      <c r="I13" s="38">
        <v>0.20960000000000001</v>
      </c>
      <c r="J13" s="38">
        <v>4.5400000000000003E-2</v>
      </c>
      <c r="K13" s="38">
        <v>0.23499999999999999</v>
      </c>
      <c r="L13" s="38">
        <v>0.35</v>
      </c>
      <c r="M13" s="38">
        <v>0</v>
      </c>
      <c r="P13" s="1">
        <v>8.5000000000000006E-2</v>
      </c>
      <c r="Q13" s="1">
        <v>7.4999999999999997E-2</v>
      </c>
      <c r="R13" s="1">
        <v>0.20960000000000001</v>
      </c>
      <c r="S13" s="1">
        <v>4.5400000000000003E-2</v>
      </c>
      <c r="T13" s="1">
        <v>0.23499999999999999</v>
      </c>
      <c r="U13" s="1">
        <v>0.35</v>
      </c>
      <c r="V13" s="1">
        <v>0</v>
      </c>
    </row>
    <row r="14" spans="1:22" x14ac:dyDescent="0.25">
      <c r="A14" s="32"/>
      <c r="B14" s="49"/>
      <c r="C14" s="50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22" hidden="1" x14ac:dyDescent="0.25">
      <c r="A15" s="32" t="s">
        <v>10</v>
      </c>
      <c r="B15" s="49">
        <f t="shared" ref="B15:B20" si="1">IF(AND($B$4&gt;=B8,$B$4&lt;=C8),($B$4*D8-E8)/$B$4)</f>
        <v>4.4999999999999998E-2</v>
      </c>
      <c r="C15" s="50">
        <f t="shared" ref="C15" si="2">ROUND(B15,5)</f>
        <v>4.4999999999999998E-2</v>
      </c>
      <c r="D15" s="49">
        <f>IF(AND($B$4&gt;=B8,$B$4&lt;=C8),C15,IF(AND($B$4&gt;=B9,$B$4&lt;=C9),C16,IF(AND($B$4&gt;=B10,$B$4&lt;=C10),C17,IF(AND($B$4&gt;=B11,$B$4&lt;=C11),C18,IF(AND($B$4&gt;=B12,$B$4&lt;=C12),C19,IF(AND($B$4&gt;=B13,$B$4&lt;=C13),C20,IF(AND($B$4&gt;=#REF!,$B$4&lt;=#REF!),C21,IF(AND($B$4&gt;#REF!),C22))))))))</f>
        <v>4.4999999999999998E-2</v>
      </c>
      <c r="E15" s="29"/>
      <c r="F15" s="29"/>
      <c r="G15" s="31" t="s">
        <v>0</v>
      </c>
      <c r="H15" s="31" t="s">
        <v>1</v>
      </c>
      <c r="I15" s="31" t="s">
        <v>2</v>
      </c>
      <c r="J15" s="31" t="s">
        <v>3</v>
      </c>
      <c r="K15" s="31" t="s">
        <v>4</v>
      </c>
      <c r="L15" s="31" t="s">
        <v>22</v>
      </c>
      <c r="M15" s="31" t="s">
        <v>5</v>
      </c>
    </row>
    <row r="16" spans="1:22" hidden="1" x14ac:dyDescent="0.25">
      <c r="A16" s="32" t="s">
        <v>11</v>
      </c>
      <c r="B16" s="49" t="b">
        <f t="shared" si="1"/>
        <v>0</v>
      </c>
      <c r="C16" s="50">
        <f>ROUND(B16,5)</f>
        <v>0</v>
      </c>
      <c r="D16" s="49">
        <f>ROUND(D15,4)</f>
        <v>4.4999999999999998E-2</v>
      </c>
      <c r="E16" s="29"/>
      <c r="F16" s="29"/>
      <c r="G16" s="51">
        <f>IF(AND($B$4&gt;=$B$8,$B$4&lt;=$C$8),$C$4*G8,IF(AND($B$4&gt;=$B$9,$B$4&lt;=$C$9),$C$4*G9,IF(AND($B$4&gt;=$B$10,$B$4&lt;=$C$10),$C$4*G10,IF(AND($B$4&gt;=$B$11,$B$4&lt;=$C$11),$C$4*G11,IF(AND($B$4&gt;=$B$12,$B$4&lt;=$C$12),$C$4*G12,IF(AND($B$4&gt;=$B$13,$B$4&lt;=$C$13),$C$4*G13,IF(AND($B$4&gt;=#REF!,$B$4&lt;=#REF!),$C$4*#REF!,IF(AND($B$4&gt;#REF!),$C$4*#REF!))))))))</f>
        <v>2.4749999999999998E-3</v>
      </c>
      <c r="H16" s="51">
        <f>IF(AND($B$4&gt;=$B$8,$B$4&lt;=$C$8),$C$4*H8,IF(AND($B$4&gt;=$B$9,$B$4&lt;=$C$9),$C$4*H9,IF(AND($B$4&gt;=$B$10,$B$4&lt;=$C$10),$C$4*H10,IF(AND($B$4&gt;=$B$11,$B$4&lt;=$C$11),$C$4*H11,IF(AND($B$4&gt;=$B$12,$B$4&lt;=$C$12),$C$4*H12,IF(AND($B$4&gt;=$B$13,$B$4&lt;=$C$13),$C$4*H13,IF(AND($B$4&gt;=#REF!,$B$4&lt;=#REF!),$C$4*#REF!,IF(AND($B$4&gt;#REF!),$C$4*#REF!))))))))</f>
        <v>1.575E-3</v>
      </c>
      <c r="I16" s="51">
        <f>IF(AND($B$4&gt;=$B$8,$B$4&lt;=$C$8),$C$4*I8,IF(AND($B$4&gt;=$B$9,$B$4&lt;=$C$9),$C$4*I9,IF(AND($B$4&gt;=$B$10,$B$4&lt;=$C$10),$C$4*I10,IF(AND($B$4&gt;=$B$11,$B$4&lt;=$C$11),$C$4*I11,IF(AND($B$4&gt;=$B$12,$B$4&lt;=$C$12),$C$4*I12,IF(AND($B$4&gt;=$B$13,$B$4&lt;=$C$13),$C$4*I13,IF(AND($B$4&gt;=#REF!,$B$4&lt;=#REF!),$C$4*#REF!,IF(AND($B$4&gt;#REF!),$C$4*#REF!))))))))</f>
        <v>5.1794999999999992E-3</v>
      </c>
      <c r="J16" s="51">
        <f>IF(AND($B$4&gt;=$B$8,$B$4&lt;=$C$8),$C$4*J8,IF(AND($B$4&gt;=$B$9,$B$4&lt;=$C$9),$C$4*J9,IF(AND($B$4&gt;=$B$10,$B$4&lt;=$C$10),$C$4*J10,IF(AND($B$4&gt;=$B$11,$B$4&lt;=$C$11),$C$4*J11,IF(AND($B$4&gt;=$B$12,$B$4&lt;=$C$12),$C$4*J12,IF(AND($B$4&gt;=$B$13,$B$4&lt;=$C$13),$C$4*J13,IF(AND($B$4&gt;=#REF!,$B$4&lt;=#REF!),$C$4*#REF!,IF(AND($B$4&gt;#REF!),$C$4*#REF!))))))))</f>
        <v>1.1205E-3</v>
      </c>
      <c r="K16" s="51">
        <f>IF(AND($B$4&gt;=$B$8,$B$4&lt;=$C$8),$C$4*K8,IF(AND($B$4&gt;=$B$9,$B$4&lt;=$C$9),$C$4*K9,IF(AND($B$4&gt;=$B$10,$B$4&lt;=$C$10),$C$4*K10,IF(AND($B$4&gt;=$B$11,$B$4&lt;=$C$11),$C$4*K11,IF(AND($B$4&gt;=$B$12,$B$4&lt;=$C$12),$C$4*K12,IF(AND($B$4&gt;=$B$13,$B$4&lt;=$C$13),$C$4*K13,IF(AND($B$4&gt;=#REF!,$B$4&lt;=#REF!),$C$4*#REF!,IF(AND($B$4&gt;#REF!),$C$4*#REF!))))))))</f>
        <v>1.6875000000000001E-2</v>
      </c>
      <c r="L16" s="51">
        <f>IF(AND($B$4&gt;=$B$8,$B$4&lt;=$C$8),$C$4*L8,IF(AND($B$4&gt;=$B$9,$B$4&lt;=$C$9),$C$4*L9,IF(AND($B$4&gt;=$B$10,$B$4&lt;=$C$10),$C$4*L10,IF(AND($B$4&gt;=$B$11,$B$4&lt;=$C$11),$C$4*L11,IF(AND($B$4&gt;=$B$12,$B$4&lt;=$C$12),$C$4*L12,IF(AND($B$4&gt;=$B$13,$B$4&lt;=$C$13),$C$4*L13,IF(AND($B$4&gt;=#REF!,$B$4&lt;=#REF!),$C$4*#REF!,IF(AND($B$4&gt;#REF!),$C$4*#REF!))))))))</f>
        <v>3.375E-3</v>
      </c>
      <c r="M16" s="51">
        <f>IF(AND($B$4&gt;=$B$8,$B$4&lt;=$C$8),$C$4*M8,IF(AND($B$4&gt;=$B$9,$B$4&lt;=$C$9),$C$4*M9,IF(AND($B$4&gt;=$B$10,$B$4&lt;=$C$10),$C$4*M10,IF(AND($B$4&gt;=$B$11,$B$4&lt;=$C$11),$C$4*M11,IF(AND($B$4&gt;=$B$12,$B$4&lt;=$C$12),$C$4*M12,IF(AND($B$4&gt;=$B$13,$B$4&lt;=$C$13),$C$4*M13,IF(AND($B$4&gt;=#REF!,$B$4&lt;=#REF!),$C$4*#REF!,IF(AND($B$4&gt;#REF!),$C$4*#REF!))))))))</f>
        <v>1.44E-2</v>
      </c>
    </row>
    <row r="17" spans="1:15" hidden="1" x14ac:dyDescent="0.25">
      <c r="A17" s="32" t="s">
        <v>12</v>
      </c>
      <c r="B17" s="49" t="b">
        <f t="shared" si="1"/>
        <v>0</v>
      </c>
      <c r="C17" s="50">
        <f t="shared" ref="C17:C21" si="3">ROUND(B17,5)</f>
        <v>0</v>
      </c>
      <c r="D17" s="29"/>
      <c r="E17" s="29"/>
      <c r="F17" s="29"/>
      <c r="G17" s="52">
        <f>ROUND(G16,4)</f>
        <v>2.5000000000000001E-3</v>
      </c>
      <c r="H17" s="52">
        <f t="shared" ref="H17:M17" si="4">ROUND(H16,4)</f>
        <v>1.6000000000000001E-3</v>
      </c>
      <c r="I17" s="52">
        <f t="shared" si="4"/>
        <v>5.1999999999999998E-3</v>
      </c>
      <c r="J17" s="52">
        <f t="shared" si="4"/>
        <v>1.1000000000000001E-3</v>
      </c>
      <c r="K17" s="52">
        <f t="shared" si="4"/>
        <v>1.6899999999999998E-2</v>
      </c>
      <c r="L17" s="52">
        <f t="shared" si="4"/>
        <v>3.3999999999999998E-3</v>
      </c>
      <c r="M17" s="52">
        <f t="shared" si="4"/>
        <v>1.44E-2</v>
      </c>
      <c r="N17" s="3">
        <f>SUM(G17:M17)</f>
        <v>4.5100000000000001E-2</v>
      </c>
    </row>
    <row r="18" spans="1:15" ht="23.25" hidden="1" x14ac:dyDescent="0.35">
      <c r="A18" s="32" t="s">
        <v>13</v>
      </c>
      <c r="B18" s="49" t="b">
        <f t="shared" si="1"/>
        <v>0</v>
      </c>
      <c r="C18" s="50">
        <f t="shared" si="3"/>
        <v>0</v>
      </c>
      <c r="D18" s="29"/>
      <c r="E18" s="29"/>
      <c r="F18" s="29"/>
      <c r="G18" s="53">
        <f t="shared" ref="G18:M18" si="5">IF(G17=MAX($G$17:$M$17),(G17+$N$20),IF(G17&lt;&gt;MAX($G$17:$M$17),G17))</f>
        <v>2.5000000000000001E-3</v>
      </c>
      <c r="H18" s="53">
        <f t="shared" si="5"/>
        <v>1.6000000000000001E-3</v>
      </c>
      <c r="I18" s="53">
        <f t="shared" si="5"/>
        <v>5.1999999999999998E-3</v>
      </c>
      <c r="J18" s="53">
        <f t="shared" si="5"/>
        <v>1.1000000000000001E-3</v>
      </c>
      <c r="K18" s="53">
        <f t="shared" si="5"/>
        <v>1.6799999999999995E-2</v>
      </c>
      <c r="L18" s="53">
        <f t="shared" si="5"/>
        <v>3.3999999999999998E-3</v>
      </c>
      <c r="M18" s="53">
        <f t="shared" si="5"/>
        <v>1.44E-2</v>
      </c>
      <c r="N18" s="3">
        <f>SUM(G18:M18)</f>
        <v>4.4999999999999998E-2</v>
      </c>
      <c r="O18" s="8">
        <f>SUM(G18:M18)</f>
        <v>4.4999999999999998E-2</v>
      </c>
    </row>
    <row r="19" spans="1:15" ht="23.25" hidden="1" x14ac:dyDescent="0.35">
      <c r="A19" s="32" t="s">
        <v>14</v>
      </c>
      <c r="B19" s="49" t="b">
        <f t="shared" si="1"/>
        <v>0</v>
      </c>
      <c r="C19" s="50">
        <f t="shared" si="3"/>
        <v>0</v>
      </c>
      <c r="D19" s="29"/>
      <c r="E19" s="29"/>
      <c r="F19" s="29"/>
      <c r="G19" s="53">
        <f>ROUND(G18,4)</f>
        <v>2.5000000000000001E-3</v>
      </c>
      <c r="H19" s="53">
        <f t="shared" ref="H19:M19" si="6">ROUND(H18,4)</f>
        <v>1.6000000000000001E-3</v>
      </c>
      <c r="I19" s="53">
        <f t="shared" si="6"/>
        <v>5.1999999999999998E-3</v>
      </c>
      <c r="J19" s="53">
        <f t="shared" si="6"/>
        <v>1.1000000000000001E-3</v>
      </c>
      <c r="K19" s="53">
        <f t="shared" si="6"/>
        <v>1.6799999999999999E-2</v>
      </c>
      <c r="L19" s="53">
        <f t="shared" si="6"/>
        <v>3.3999999999999998E-3</v>
      </c>
      <c r="M19" s="53">
        <f t="shared" si="6"/>
        <v>1.44E-2</v>
      </c>
      <c r="O19" s="7" t="str">
        <f>IF(C4=O18,"OK")</f>
        <v>OK</v>
      </c>
    </row>
    <row r="20" spans="1:15" hidden="1" x14ac:dyDescent="0.25">
      <c r="A20" s="32" t="s">
        <v>15</v>
      </c>
      <c r="B20" s="49" t="b">
        <f t="shared" si="1"/>
        <v>0</v>
      </c>
      <c r="C20" s="50">
        <f t="shared" si="3"/>
        <v>0</v>
      </c>
      <c r="D20" s="29"/>
      <c r="E20" s="29"/>
      <c r="F20" s="29"/>
      <c r="G20" s="53">
        <f>G19-G17</f>
        <v>0</v>
      </c>
      <c r="H20" s="53">
        <f t="shared" ref="H20:L20" si="7">H19-H17</f>
        <v>0</v>
      </c>
      <c r="I20" s="53">
        <f t="shared" si="7"/>
        <v>0</v>
      </c>
      <c r="J20" s="53">
        <f t="shared" si="7"/>
        <v>0</v>
      </c>
      <c r="K20" s="53">
        <f t="shared" si="7"/>
        <v>-9.9999999999999395E-5</v>
      </c>
      <c r="L20" s="53">
        <f t="shared" si="7"/>
        <v>0</v>
      </c>
      <c r="M20" s="29"/>
      <c r="N20" s="3">
        <f>C4-N17</f>
        <v>-1.0000000000000286E-4</v>
      </c>
    </row>
    <row r="21" spans="1:15" hidden="1" x14ac:dyDescent="0.25">
      <c r="A21" s="32" t="s">
        <v>16</v>
      </c>
      <c r="B21" s="49" t="e">
        <f>IF(AND($B$4&gt;=#REF!,$B$4&lt;=#REF!),($B$4*#REF!-#REF!)/$B$4)</f>
        <v>#REF!</v>
      </c>
      <c r="C21" s="50" t="e">
        <f t="shared" si="3"/>
        <v>#REF!</v>
      </c>
      <c r="D21" s="29"/>
      <c r="E21" s="29"/>
      <c r="F21" s="29"/>
      <c r="G21" s="54"/>
      <c r="H21" s="29"/>
      <c r="I21" s="29"/>
      <c r="J21" s="29"/>
      <c r="K21" s="29"/>
      <c r="L21" s="29"/>
      <c r="M21" s="29"/>
    </row>
    <row r="22" spans="1:15" hidden="1" x14ac:dyDescent="0.25">
      <c r="A22" s="32"/>
      <c r="B22" s="49"/>
      <c r="C22" s="50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5" x14ac:dyDescent="0.25">
      <c r="A23" s="29"/>
      <c r="B23" s="29"/>
      <c r="C23" s="29"/>
      <c r="D23" s="29"/>
      <c r="E23" s="29"/>
      <c r="F23" s="29"/>
      <c r="G23" s="55"/>
      <c r="H23" s="29"/>
      <c r="I23" s="29"/>
      <c r="J23" s="29"/>
      <c r="K23" s="29"/>
      <c r="L23" s="29"/>
      <c r="M23" s="29"/>
    </row>
    <row r="24" spans="1:1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</sheetData>
  <mergeCells count="4">
    <mergeCell ref="D2:I2"/>
    <mergeCell ref="C2:C3"/>
    <mergeCell ref="B2:B3"/>
    <mergeCell ref="G6:L6"/>
  </mergeCells>
  <conditionalFormatting sqref="G20:L20">
    <cfRule type="expression" dxfId="15" priority="4">
      <formula>"SE+$G$19&lt;&gt;0"</formula>
    </cfRule>
  </conditionalFormatting>
  <conditionalFormatting sqref="G20:L20">
    <cfRule type="cellIs" dxfId="14" priority="1" operator="notEqual">
      <formula>0</formula>
    </cfRule>
    <cfRule type="cellIs" dxfId="13" priority="2" operator="lessThan">
      <formula>0</formula>
    </cfRule>
    <cfRule type="cellIs" dxfId="12" priority="3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zoomScaleNormal="100" workbookViewId="0">
      <selection activeCell="B4" sqref="B4"/>
    </sheetView>
  </sheetViews>
  <sheetFormatPr defaultRowHeight="15" x14ac:dyDescent="0.25"/>
  <cols>
    <col min="1" max="1" width="23.7109375" customWidth="1"/>
    <col min="2" max="2" width="23.42578125" bestFit="1" customWidth="1"/>
    <col min="3" max="3" width="17.5703125" bestFit="1" customWidth="1"/>
    <col min="4" max="4" width="13.42578125" bestFit="1" customWidth="1"/>
    <col min="5" max="5" width="13.42578125" customWidth="1"/>
    <col min="6" max="6" width="11.42578125" customWidth="1"/>
    <col min="7" max="7" width="13.42578125" customWidth="1"/>
    <col min="8" max="9" width="11.42578125" customWidth="1"/>
    <col min="10" max="10" width="9.85546875" customWidth="1"/>
    <col min="11" max="12" width="9.140625" customWidth="1"/>
    <col min="13" max="14" width="13.42578125" bestFit="1" customWidth="1"/>
    <col min="15" max="17" width="7" customWidth="1"/>
    <col min="18" max="18" width="6" customWidth="1"/>
    <col min="19" max="20" width="7" customWidth="1"/>
  </cols>
  <sheetData>
    <row r="2" spans="1:14" ht="15.75" x14ac:dyDescent="0.25">
      <c r="B2" s="23" t="s">
        <v>6</v>
      </c>
      <c r="C2" s="24" t="s">
        <v>18</v>
      </c>
      <c r="D2" s="25" t="s">
        <v>19</v>
      </c>
      <c r="E2" s="25"/>
      <c r="F2" s="25"/>
      <c r="G2" s="25"/>
      <c r="H2" s="25"/>
      <c r="I2" s="25"/>
    </row>
    <row r="3" spans="1:14" ht="21" x14ac:dyDescent="0.25">
      <c r="B3" s="41"/>
      <c r="C3" s="42"/>
      <c r="D3" s="43" t="s">
        <v>0</v>
      </c>
      <c r="E3" s="43" t="s">
        <v>1</v>
      </c>
      <c r="F3" s="43" t="s">
        <v>2</v>
      </c>
      <c r="G3" s="43" t="s">
        <v>3</v>
      </c>
      <c r="H3" s="43" t="s">
        <v>4</v>
      </c>
      <c r="I3" s="43" t="s">
        <v>23</v>
      </c>
    </row>
    <row r="4" spans="1:14" ht="31.5" x14ac:dyDescent="0.4">
      <c r="A4" s="44" t="s">
        <v>17</v>
      </c>
      <c r="B4" s="45">
        <v>180000</v>
      </c>
      <c r="C4" s="46">
        <f>D16</f>
        <v>0.06</v>
      </c>
      <c r="D4" s="46">
        <f t="shared" ref="D4:I4" si="0">G25</f>
        <v>2.3999999999999998E-3</v>
      </c>
      <c r="E4" s="46">
        <f t="shared" si="0"/>
        <v>2.0999999999999999E-3</v>
      </c>
      <c r="F4" s="46">
        <f t="shared" si="0"/>
        <v>7.7000000000000002E-3</v>
      </c>
      <c r="G4" s="46">
        <f t="shared" si="0"/>
        <v>1.6999999999999999E-3</v>
      </c>
      <c r="H4" s="46">
        <f t="shared" si="0"/>
        <v>2.5999999999999999E-2</v>
      </c>
      <c r="I4" s="46">
        <f t="shared" si="0"/>
        <v>2.01E-2</v>
      </c>
    </row>
    <row r="5" spans="1:14" ht="26.25" x14ac:dyDescent="0.4">
      <c r="A5" s="26"/>
      <c r="B5" s="28"/>
      <c r="C5" s="27"/>
      <c r="D5" s="27"/>
      <c r="E5" s="27"/>
      <c r="F5" s="27"/>
      <c r="G5" s="27"/>
      <c r="H5" s="27"/>
      <c r="I5" s="27"/>
      <c r="J5" s="29"/>
      <c r="K5" s="29"/>
      <c r="L5" s="29"/>
      <c r="M5" s="29"/>
    </row>
    <row r="6" spans="1:14" ht="32.25" customHeight="1" x14ac:dyDescent="0.25">
      <c r="A6" s="29"/>
      <c r="B6" s="29"/>
      <c r="C6" s="29"/>
      <c r="D6" s="29"/>
      <c r="E6" s="29"/>
      <c r="F6" s="29"/>
      <c r="G6" s="30" t="s">
        <v>21</v>
      </c>
      <c r="H6" s="30"/>
      <c r="I6" s="30"/>
      <c r="J6" s="30"/>
      <c r="K6" s="30"/>
      <c r="L6" s="30"/>
      <c r="M6" s="29"/>
    </row>
    <row r="7" spans="1:14" ht="30" x14ac:dyDescent="0.25">
      <c r="A7" s="29"/>
      <c r="B7" s="31" t="s">
        <v>7</v>
      </c>
      <c r="C7" s="31" t="s">
        <v>8</v>
      </c>
      <c r="D7" s="31" t="s">
        <v>20</v>
      </c>
      <c r="E7" s="31" t="s">
        <v>9</v>
      </c>
      <c r="F7" s="29"/>
      <c r="G7" s="31" t="s">
        <v>0</v>
      </c>
      <c r="H7" s="31" t="s">
        <v>1</v>
      </c>
      <c r="I7" s="31" t="s">
        <v>2</v>
      </c>
      <c r="J7" s="31" t="s">
        <v>3</v>
      </c>
      <c r="K7" s="31" t="s">
        <v>4</v>
      </c>
      <c r="L7" s="31" t="s">
        <v>23</v>
      </c>
      <c r="M7" s="29"/>
    </row>
    <row r="8" spans="1:14" x14ac:dyDescent="0.25">
      <c r="A8" s="32" t="s">
        <v>10</v>
      </c>
      <c r="B8" s="33">
        <v>0</v>
      </c>
      <c r="C8" s="34">
        <v>180000</v>
      </c>
      <c r="D8" s="48">
        <v>0.06</v>
      </c>
      <c r="E8" s="36">
        <v>0</v>
      </c>
      <c r="F8" s="37" t="s">
        <v>10</v>
      </c>
      <c r="G8" s="38">
        <v>0.04</v>
      </c>
      <c r="H8" s="38">
        <v>3.5000000000000003E-2</v>
      </c>
      <c r="I8" s="38">
        <v>0.12820000000000001</v>
      </c>
      <c r="J8" s="38">
        <v>2.7799999999999998E-2</v>
      </c>
      <c r="K8" s="38">
        <v>0.434</v>
      </c>
      <c r="L8" s="38">
        <v>0.33500000000000002</v>
      </c>
      <c r="M8" s="29"/>
    </row>
    <row r="9" spans="1:14" x14ac:dyDescent="0.25">
      <c r="A9" s="32" t="s">
        <v>11</v>
      </c>
      <c r="B9" s="39">
        <v>180000.01</v>
      </c>
      <c r="C9" s="40">
        <v>360000</v>
      </c>
      <c r="D9" s="48">
        <v>0.112</v>
      </c>
      <c r="E9" s="36">
        <v>9360</v>
      </c>
      <c r="F9" s="37" t="s">
        <v>11</v>
      </c>
      <c r="G9" s="38">
        <v>0.04</v>
      </c>
      <c r="H9" s="38">
        <v>3.5000000000000003E-2</v>
      </c>
      <c r="I9" s="38">
        <v>0.14050000000000001</v>
      </c>
      <c r="J9" s="38">
        <v>3.0499999999999999E-2</v>
      </c>
      <c r="K9" s="38">
        <v>0.434</v>
      </c>
      <c r="L9" s="38">
        <v>0.32</v>
      </c>
      <c r="M9" s="29"/>
    </row>
    <row r="10" spans="1:14" x14ac:dyDescent="0.25">
      <c r="A10" s="32" t="s">
        <v>12</v>
      </c>
      <c r="B10" s="39">
        <v>360000.01</v>
      </c>
      <c r="C10" s="40">
        <v>720000</v>
      </c>
      <c r="D10" s="48">
        <v>0.13500000000000001</v>
      </c>
      <c r="E10" s="36">
        <v>17640</v>
      </c>
      <c r="F10" s="37" t="s">
        <v>12</v>
      </c>
      <c r="G10" s="38">
        <v>0.04</v>
      </c>
      <c r="H10" s="38">
        <v>3.5000000000000003E-2</v>
      </c>
      <c r="I10" s="38">
        <v>0.13639999999999999</v>
      </c>
      <c r="J10" s="38">
        <v>2.9600000000000001E-2</v>
      </c>
      <c r="K10" s="38">
        <v>0.434</v>
      </c>
      <c r="L10" s="38">
        <v>0.32500000000000001</v>
      </c>
      <c r="M10" s="29"/>
    </row>
    <row r="11" spans="1:14" x14ac:dyDescent="0.25">
      <c r="A11" s="32" t="s">
        <v>13</v>
      </c>
      <c r="B11" s="39">
        <v>720000.01</v>
      </c>
      <c r="C11" s="40">
        <v>1800000</v>
      </c>
      <c r="D11" s="48">
        <v>0.16</v>
      </c>
      <c r="E11" s="36">
        <v>35640</v>
      </c>
      <c r="F11" s="37" t="s">
        <v>13</v>
      </c>
      <c r="G11" s="38">
        <v>0.04</v>
      </c>
      <c r="H11" s="38">
        <v>3.5000000000000003E-2</v>
      </c>
      <c r="I11" s="38">
        <v>0.13639999999999999</v>
      </c>
      <c r="J11" s="38">
        <v>2.9600000000000001E-2</v>
      </c>
      <c r="K11" s="38">
        <v>0.434</v>
      </c>
      <c r="L11" s="38">
        <v>0.32500000000000001</v>
      </c>
      <c r="M11" s="29"/>
    </row>
    <row r="12" spans="1:14" x14ac:dyDescent="0.25">
      <c r="A12" s="32" t="s">
        <v>14</v>
      </c>
      <c r="B12" s="39">
        <v>1800000.01</v>
      </c>
      <c r="C12" s="40">
        <v>3600000</v>
      </c>
      <c r="D12" s="48">
        <v>0.21</v>
      </c>
      <c r="E12" s="36">
        <v>125640</v>
      </c>
      <c r="F12" s="37" t="s">
        <v>14</v>
      </c>
      <c r="G12" s="38">
        <v>0.04</v>
      </c>
      <c r="H12" s="38">
        <v>3.5000000000000003E-2</v>
      </c>
      <c r="I12" s="38">
        <v>0.12820000000000001</v>
      </c>
      <c r="J12" s="38">
        <v>2.7799999999999998E-2</v>
      </c>
      <c r="K12" s="38">
        <v>0.434</v>
      </c>
      <c r="L12" s="38">
        <v>0.33500000000000002</v>
      </c>
      <c r="M12" s="29"/>
    </row>
    <row r="13" spans="1:14" x14ac:dyDescent="0.25">
      <c r="A13" s="32" t="s">
        <v>15</v>
      </c>
      <c r="B13" s="39">
        <v>3600000.01</v>
      </c>
      <c r="C13" s="40">
        <v>4800000</v>
      </c>
      <c r="D13" s="48">
        <v>0.33</v>
      </c>
      <c r="E13" s="36">
        <v>648000</v>
      </c>
      <c r="F13" s="37" t="s">
        <v>15</v>
      </c>
      <c r="G13" s="38">
        <v>0.35</v>
      </c>
      <c r="H13" s="38">
        <v>0.15</v>
      </c>
      <c r="I13" s="38">
        <v>0.1603</v>
      </c>
      <c r="J13" s="38">
        <v>3.4700000000000002E-2</v>
      </c>
      <c r="K13" s="38">
        <v>0.30499999999999999</v>
      </c>
      <c r="L13" s="38">
        <v>0</v>
      </c>
      <c r="M13" s="29"/>
    </row>
    <row r="14" spans="1:14" x14ac:dyDescent="0.25">
      <c r="A14" s="32"/>
      <c r="B14" s="49"/>
      <c r="C14" s="50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4" hidden="1" x14ac:dyDescent="0.25">
      <c r="A15" s="32" t="s">
        <v>10</v>
      </c>
      <c r="B15" s="49">
        <f t="shared" ref="B15:B20" si="1">IF(AND($B$4&gt;=B8,$B$4&lt;=C8),($B$4*D8-E8)/$B$4)</f>
        <v>0.06</v>
      </c>
      <c r="C15" s="50">
        <f t="shared" ref="C15" si="2">ROUND(B15,5)</f>
        <v>0.06</v>
      </c>
      <c r="D15" s="49">
        <f>IF(AND($B$4&gt;=B8,$B$4&lt;=C8),C15,IF(AND($B$4&gt;=B9,$B$4&lt;=C9),C16,IF(AND($B$4&gt;=B10,$B$4&lt;=C10),C17,IF(AND($B$4&gt;=B11,$B$4&lt;=C11),C18,IF(AND($B$4&gt;=B12,$B$4&lt;=C12),C19,IF(AND($B$4&gt;=B13,$B$4&lt;=C13),C20,IF(AND($B$4&gt;=#REF!,$B$4&lt;=#REF!),#REF!,IF(AND($B$4&gt;#REF!),C21))))))))</f>
        <v>0.06</v>
      </c>
      <c r="E15" s="29"/>
      <c r="F15" s="29"/>
      <c r="G15" s="31" t="s">
        <v>0</v>
      </c>
      <c r="H15" s="31" t="s">
        <v>1</v>
      </c>
      <c r="I15" s="31" t="s">
        <v>2</v>
      </c>
      <c r="J15" s="31" t="s">
        <v>3</v>
      </c>
      <c r="K15" s="31" t="s">
        <v>4</v>
      </c>
      <c r="L15" s="31" t="s">
        <v>23</v>
      </c>
      <c r="M15" s="29"/>
      <c r="N15" s="18">
        <v>0.05</v>
      </c>
    </row>
    <row r="16" spans="1:14" hidden="1" x14ac:dyDescent="0.25">
      <c r="A16" s="32" t="s">
        <v>11</v>
      </c>
      <c r="B16" s="49" t="b">
        <f t="shared" si="1"/>
        <v>0</v>
      </c>
      <c r="C16" s="50">
        <f>ROUND(B16,5)</f>
        <v>0</v>
      </c>
      <c r="D16" s="49">
        <f>ROUND(D15,4)</f>
        <v>0.06</v>
      </c>
      <c r="E16" s="29"/>
      <c r="F16" s="29"/>
      <c r="G16" s="51">
        <f>IF(AND($B$4&gt;=$B$8,$B$4&lt;=$C$8),$C$4*G8,IF(AND($B$4&gt;=$B$9,$B$4&lt;=$C$9),$C$4*G9,IF(AND($B$4&gt;=$B$10,$B$4&lt;=$C$10),$C$4*G10,IF(AND($B$4&gt;=$B$11,$B$4&lt;=$C$11),$C$4*G11,IF(AND($B$4&gt;=$B$12,$B$4&lt;=$C$12),$C$4*G12,IF(AND($B$4&gt;=$B$13,$B$4&lt;=$C$13),$C$4*G13,IF(AND($B$4&gt;=#REF!,$B$4&lt;=#REF!),$C$4*#REF!,IF(AND($B$4&gt;#REF!),$C$4*#REF!))))))))</f>
        <v>2.3999999999999998E-3</v>
      </c>
      <c r="H16" s="51">
        <f>IF(AND($B$4&gt;=$B$8,$B$4&lt;=$C$8),$C$4*H8,IF(AND($B$4&gt;=$B$9,$B$4&lt;=$C$9),$C$4*H9,IF(AND($B$4&gt;=$B$10,$B$4&lt;=$C$10),$C$4*H10,IF(AND($B$4&gt;=$B$11,$B$4&lt;=$C$11),$C$4*H11,IF(AND($B$4&gt;=$B$12,$B$4&lt;=$C$12),$C$4*H12,IF(AND($B$4&gt;=$B$13,$B$4&lt;=$C$13),$C$4*H13,IF(AND($B$4&gt;=#REF!,$B$4&lt;=#REF!),$C$4*#REF!,IF(AND($B$4&gt;#REF!),$C$4*#REF!))))))))</f>
        <v>2.1000000000000003E-3</v>
      </c>
      <c r="I16" s="51">
        <f>IF(AND($B$4&gt;=$B$8,$B$4&lt;=$C$8),$C$4*I8,IF(AND($B$4&gt;=$B$9,$B$4&lt;=$C$9),$C$4*I9,IF(AND($B$4&gt;=$B$10,$B$4&lt;=$C$10),$C$4*I10,IF(AND($B$4&gt;=$B$11,$B$4&lt;=$C$11),$C$4*I11,IF(AND($B$4&gt;=$B$12,$B$4&lt;=$C$12),$C$4*I12,IF(AND($B$4&gt;=$B$13,$B$4&lt;=$C$13),$C$4*I13,IF(AND($B$4&gt;=#REF!,$B$4&lt;=#REF!),$C$4*#REF!,IF(AND($B$4&gt;#REF!),$C$4*#REF!))))))))</f>
        <v>7.6920000000000001E-3</v>
      </c>
      <c r="J16" s="52">
        <f>IF(AND($B$4&gt;=$B$8,$B$4&lt;=$C$8),$C$4*J8,IF(AND($B$4&gt;=$B$9,$B$4&lt;=$C$9),$C$4*J9,IF(AND($B$4&gt;=$B$10,$B$4&lt;=$C$10),$C$4*J10,IF(AND($B$4&gt;=$B$11,$B$4&lt;=$C$11),$C$4*J11,IF(AND($B$4&gt;=$B$12,$B$4&lt;=$C$12),$C$4*J12,IF(AND($B$4&gt;=$B$13,$B$4&lt;=$C$13),$C$4*J13,IF(AND($B$4&gt;=#REF!,$B$4&lt;=#REF!),$C$4*#REF!,IF(AND($B$4&gt;#REF!),$C$4*#REF!))))))))</f>
        <v>1.6679999999999998E-3</v>
      </c>
      <c r="K16" s="51">
        <f>IF(AND($B$4&gt;=$B$8,$B$4&lt;=$C$8),$C$4*K8,IF(AND($B$4&gt;=$B$9,$B$4&lt;=$C$9),$C$4*K9,IF(AND($B$4&gt;=$B$10,$B$4&lt;=$C$10),$C$4*K10,IF(AND($B$4&gt;=$B$11,$B$4&lt;=$C$11),$C$4*K11,IF(AND($B$4&gt;=$B$12,$B$4&lt;=$C$12),$C$4*K12,IF(AND($B$4&gt;=$B$13,$B$4&lt;=$C$13),$C$4*K13,IF(AND($B$4&gt;=#REF!,$B$4&lt;=#REF!),$C$4*#REF!,IF(AND($B$4&gt;#REF!),$C$4*#REF!))))))))</f>
        <v>2.6039999999999997E-2</v>
      </c>
      <c r="L16" s="51">
        <f>IF(AND($B$4&gt;=$B$8,$B$4&lt;=$C$8),$C$4*L8,IF(AND($B$4&gt;=$B$9,$B$4&lt;=$C$9),$C$4*L9,IF(AND($B$4&gt;=$B$10,$B$4&lt;=$C$10),$C$4*L10,IF(AND($B$4&gt;=$B$11,$B$4&lt;=$C$11),$C$4*L11,IF(AND($B$4&gt;=$B$12,$B$4&lt;=$C$12),$C$4*L12,IF(AND($B$4&gt;=$B$13,$B$4&lt;=$C$13),$C$4*L13,IF(AND($B$4&gt;=#REF!,$B$4&lt;=#REF!),$C$4*#REF!,IF(AND($B$4&gt;#REF!),$C$4*#REF!))))))))</f>
        <v>2.01E-2</v>
      </c>
      <c r="M16" s="56"/>
    </row>
    <row r="17" spans="1:14" hidden="1" x14ac:dyDescent="0.25">
      <c r="A17" s="32" t="s">
        <v>12</v>
      </c>
      <c r="B17" s="49" t="b">
        <f t="shared" si="1"/>
        <v>0</v>
      </c>
      <c r="C17" s="50">
        <f t="shared" ref="C17:C20" si="3">ROUND(B17,5)</f>
        <v>0</v>
      </c>
      <c r="D17" s="29"/>
      <c r="E17" s="29"/>
      <c r="F17" s="29"/>
      <c r="G17" s="52">
        <f>ROUND(G16,4)</f>
        <v>2.3999999999999998E-3</v>
      </c>
      <c r="H17" s="52">
        <f t="shared" ref="H17:L17" si="4">ROUND(H16,4)</f>
        <v>2.0999999999999999E-3</v>
      </c>
      <c r="I17" s="52">
        <f t="shared" si="4"/>
        <v>7.7000000000000002E-3</v>
      </c>
      <c r="J17" s="52">
        <f t="shared" si="4"/>
        <v>1.6999999999999999E-3</v>
      </c>
      <c r="K17" s="52">
        <f t="shared" si="4"/>
        <v>2.5999999999999999E-2</v>
      </c>
      <c r="L17" s="52">
        <f t="shared" si="4"/>
        <v>2.01E-2</v>
      </c>
      <c r="M17" s="50">
        <f>SUM(G17:L17)</f>
        <v>0.06</v>
      </c>
    </row>
    <row r="18" spans="1:14" ht="23.25" hidden="1" x14ac:dyDescent="0.35">
      <c r="A18" s="32" t="s">
        <v>13</v>
      </c>
      <c r="B18" s="49" t="b">
        <f t="shared" si="1"/>
        <v>0</v>
      </c>
      <c r="C18" s="50">
        <f t="shared" si="3"/>
        <v>0</v>
      </c>
      <c r="D18" s="29"/>
      <c r="E18" s="29"/>
      <c r="F18" s="29"/>
      <c r="G18" s="53">
        <f t="shared" ref="G18:L18" si="5">IF(G17=MAX($G$17:$L$17),(G17+$M$20),IF(G17&lt;&gt;MAX($G$17:$L$17),G17))</f>
        <v>2.3999999999999998E-3</v>
      </c>
      <c r="H18" s="53">
        <f t="shared" si="5"/>
        <v>2.0999999999999999E-3</v>
      </c>
      <c r="I18" s="53">
        <f t="shared" si="5"/>
        <v>7.7000000000000002E-3</v>
      </c>
      <c r="J18" s="53">
        <f t="shared" si="5"/>
        <v>1.6999999999999999E-3</v>
      </c>
      <c r="K18" s="53">
        <f t="shared" si="5"/>
        <v>2.5999999999999999E-2</v>
      </c>
      <c r="L18" s="53">
        <f t="shared" si="5"/>
        <v>2.01E-2</v>
      </c>
      <c r="M18" s="50">
        <f>SUM(G18:L18)</f>
        <v>0.06</v>
      </c>
      <c r="N18" s="12">
        <f>SUM(G18:L18)</f>
        <v>0.06</v>
      </c>
    </row>
    <row r="19" spans="1:14" ht="23.25" hidden="1" x14ac:dyDescent="0.35">
      <c r="A19" s="32" t="s">
        <v>14</v>
      </c>
      <c r="B19" s="49" t="b">
        <f t="shared" si="1"/>
        <v>0</v>
      </c>
      <c r="C19" s="50">
        <f t="shared" si="3"/>
        <v>0</v>
      </c>
      <c r="D19" s="29"/>
      <c r="E19" s="29"/>
      <c r="F19" s="29"/>
      <c r="G19" s="53">
        <f>ROUND(G18,4)</f>
        <v>2.3999999999999998E-3</v>
      </c>
      <c r="H19" s="53">
        <f t="shared" ref="H19:L19" si="6">ROUND(H18,4)</f>
        <v>2.0999999999999999E-3</v>
      </c>
      <c r="I19" s="53">
        <f t="shared" si="6"/>
        <v>7.7000000000000002E-3</v>
      </c>
      <c r="J19" s="53">
        <f t="shared" si="6"/>
        <v>1.6999999999999999E-3</v>
      </c>
      <c r="K19" s="53">
        <f t="shared" si="6"/>
        <v>2.5999999999999999E-2</v>
      </c>
      <c r="L19" s="53">
        <f t="shared" si="6"/>
        <v>2.01E-2</v>
      </c>
      <c r="M19" s="29"/>
      <c r="N19" s="7" t="str">
        <f>IF(C4=N18,"OK")</f>
        <v>OK</v>
      </c>
    </row>
    <row r="20" spans="1:14" hidden="1" x14ac:dyDescent="0.25">
      <c r="A20" s="32" t="s">
        <v>15</v>
      </c>
      <c r="B20" s="49" t="b">
        <f t="shared" si="1"/>
        <v>0</v>
      </c>
      <c r="C20" s="50">
        <f t="shared" si="3"/>
        <v>0</v>
      </c>
      <c r="D20" s="29"/>
      <c r="E20" s="29"/>
      <c r="F20" s="29"/>
      <c r="G20" s="53">
        <f>G19-G17</f>
        <v>0</v>
      </c>
      <c r="H20" s="53">
        <f t="shared" ref="H20:L20" si="7">H19-H17</f>
        <v>0</v>
      </c>
      <c r="I20" s="53">
        <f t="shared" si="7"/>
        <v>0</v>
      </c>
      <c r="J20" s="53">
        <f t="shared" si="7"/>
        <v>0</v>
      </c>
      <c r="K20" s="53">
        <f t="shared" si="7"/>
        <v>0</v>
      </c>
      <c r="L20" s="53">
        <f t="shared" si="7"/>
        <v>0</v>
      </c>
      <c r="M20" s="50">
        <f>C4-M17</f>
        <v>0</v>
      </c>
    </row>
    <row r="21" spans="1:14" hidden="1" x14ac:dyDescent="0.25">
      <c r="A21" s="32"/>
      <c r="B21" s="49"/>
      <c r="C21" s="50"/>
      <c r="D21" s="29"/>
      <c r="E21" s="29"/>
      <c r="F21" s="29"/>
      <c r="G21" s="53">
        <f>G19</f>
        <v>2.3999999999999998E-3</v>
      </c>
      <c r="H21" s="53">
        <f>H19</f>
        <v>2.0999999999999999E-3</v>
      </c>
      <c r="I21" s="53">
        <f>I19</f>
        <v>7.7000000000000002E-3</v>
      </c>
      <c r="J21" s="53">
        <f t="shared" ref="J21:L21" si="8">J19</f>
        <v>1.6999999999999999E-3</v>
      </c>
      <c r="K21" s="53">
        <f t="shared" si="8"/>
        <v>2.5999999999999999E-2</v>
      </c>
      <c r="L21" s="53">
        <f t="shared" si="8"/>
        <v>2.01E-2</v>
      </c>
      <c r="M21" s="53">
        <f>L21-N15</f>
        <v>-2.9900000000000003E-2</v>
      </c>
      <c r="N21" s="10">
        <f>IF(M21&gt;0,M21,0)</f>
        <v>0</v>
      </c>
    </row>
    <row r="22" spans="1:14" hidden="1" x14ac:dyDescent="0.25">
      <c r="A22" s="29"/>
      <c r="B22" s="29"/>
      <c r="C22" s="29"/>
      <c r="D22" s="29"/>
      <c r="E22" s="29"/>
      <c r="F22" s="29"/>
      <c r="G22" s="53">
        <f>$N$21*G30</f>
        <v>0</v>
      </c>
      <c r="H22" s="53">
        <f t="shared" ref="H22:K22" si="9">$N$21*H30</f>
        <v>0</v>
      </c>
      <c r="I22" s="53">
        <f t="shared" si="9"/>
        <v>0</v>
      </c>
      <c r="J22" s="53">
        <f t="shared" si="9"/>
        <v>0</v>
      </c>
      <c r="K22" s="53">
        <f t="shared" si="9"/>
        <v>0</v>
      </c>
      <c r="L22" s="29"/>
      <c r="M22" s="53">
        <f>SUM(G22:L22)</f>
        <v>0</v>
      </c>
    </row>
    <row r="23" spans="1:14" hidden="1" x14ac:dyDescent="0.25">
      <c r="A23" s="29"/>
      <c r="B23" s="29"/>
      <c r="C23" s="29"/>
      <c r="D23" s="29"/>
      <c r="E23" s="29"/>
      <c r="F23" s="29"/>
      <c r="G23" s="53">
        <f>G19+G22</f>
        <v>2.3999999999999998E-3</v>
      </c>
      <c r="H23" s="53">
        <f t="shared" ref="H23:K23" si="10">H19+H22</f>
        <v>2.0999999999999999E-3</v>
      </c>
      <c r="I23" s="53">
        <f t="shared" si="10"/>
        <v>7.7000000000000002E-3</v>
      </c>
      <c r="J23" s="53">
        <f t="shared" si="10"/>
        <v>1.6999999999999999E-3</v>
      </c>
      <c r="K23" s="53">
        <f t="shared" si="10"/>
        <v>2.5999999999999999E-2</v>
      </c>
      <c r="L23" s="53">
        <f>L21-N21</f>
        <v>2.01E-2</v>
      </c>
      <c r="M23" s="53">
        <f>SUM(G23:L23)</f>
        <v>0.06</v>
      </c>
    </row>
    <row r="24" spans="1:14" hidden="1" x14ac:dyDescent="0.25">
      <c r="A24" s="29"/>
      <c r="B24" s="29"/>
      <c r="C24" s="29"/>
      <c r="D24" s="29"/>
      <c r="E24" s="29"/>
      <c r="F24" s="29"/>
      <c r="G24" s="53">
        <f>ROUND(G23,4)</f>
        <v>2.3999999999999998E-3</v>
      </c>
      <c r="H24" s="53">
        <f t="shared" ref="H24:K24" si="11">ROUND(H23,4)</f>
        <v>2.0999999999999999E-3</v>
      </c>
      <c r="I24" s="53">
        <f t="shared" si="11"/>
        <v>7.7000000000000002E-3</v>
      </c>
      <c r="J24" s="53">
        <f t="shared" si="11"/>
        <v>1.6999999999999999E-3</v>
      </c>
      <c r="K24" s="53">
        <f t="shared" si="11"/>
        <v>2.5999999999999999E-2</v>
      </c>
      <c r="L24" s="53">
        <f>TRUNC(L23,4)</f>
        <v>2.01E-2</v>
      </c>
      <c r="M24" s="53">
        <f>SUM(G24:L24)</f>
        <v>0.06</v>
      </c>
      <c r="N24" s="10">
        <f>M23-M24</f>
        <v>0</v>
      </c>
    </row>
    <row r="25" spans="1:14" ht="23.25" hidden="1" x14ac:dyDescent="0.35">
      <c r="A25" s="57" t="s">
        <v>25</v>
      </c>
      <c r="B25" s="58">
        <v>2064579</v>
      </c>
      <c r="C25" s="29"/>
      <c r="D25" s="29"/>
      <c r="E25" s="29"/>
      <c r="F25" s="29"/>
      <c r="G25" s="53">
        <f>IF(G24=MAX($G$24:$K$24),(G24+$N$24),IF(G24&lt;&gt;MAX($G$24:$K$24),G24))</f>
        <v>2.3999999999999998E-3</v>
      </c>
      <c r="H25" s="53">
        <f t="shared" ref="H25:L25" si="12">IF(H24=MAX($G$24:$L$24),(H24+$N$24),IF(H24&lt;&gt;MAX($G$24:$L$24),H24))</f>
        <v>2.0999999999999999E-3</v>
      </c>
      <c r="I25" s="53">
        <f t="shared" si="12"/>
        <v>7.7000000000000002E-3</v>
      </c>
      <c r="J25" s="53">
        <f t="shared" si="12"/>
        <v>1.6999999999999999E-3</v>
      </c>
      <c r="K25" s="53">
        <f t="shared" si="12"/>
        <v>2.5999999999999999E-2</v>
      </c>
      <c r="L25" s="53">
        <f t="shared" si="12"/>
        <v>2.01E-2</v>
      </c>
      <c r="M25" s="59">
        <f>SUM(G25:L25)</f>
        <v>0.06</v>
      </c>
    </row>
    <row r="26" spans="1:14" hidden="1" x14ac:dyDescent="0.25">
      <c r="A26" s="29"/>
      <c r="B26" s="29"/>
      <c r="C26" s="29"/>
      <c r="D26" s="29"/>
      <c r="E26" s="29"/>
      <c r="F26" s="29"/>
      <c r="G26" s="53"/>
      <c r="H26" s="53"/>
      <c r="I26" s="53"/>
      <c r="J26" s="53"/>
      <c r="K26" s="53"/>
      <c r="L26" s="53"/>
      <c r="M26" s="53"/>
    </row>
    <row r="27" spans="1:14" hidden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4" hidden="1" x14ac:dyDescent="0.25">
      <c r="A28" s="29"/>
      <c r="B28" s="29"/>
      <c r="C28" s="29"/>
      <c r="D28" s="29"/>
      <c r="E28" s="29"/>
      <c r="F28" s="29"/>
      <c r="G28" s="38">
        <v>0.04</v>
      </c>
      <c r="H28" s="38">
        <v>3.5000000000000003E-2</v>
      </c>
      <c r="I28" s="38">
        <v>0.12820000000000001</v>
      </c>
      <c r="J28" s="38">
        <v>2.7799999999999998E-2</v>
      </c>
      <c r="K28" s="38">
        <v>0.434</v>
      </c>
      <c r="L28" s="53">
        <f>SUM(G28:K28)</f>
        <v>0.66500000000000004</v>
      </c>
      <c r="M28" s="29"/>
    </row>
    <row r="29" spans="1:14" hidden="1" x14ac:dyDescent="0.25">
      <c r="A29" s="29"/>
      <c r="B29" s="29"/>
      <c r="C29" s="29"/>
      <c r="D29" s="29"/>
      <c r="E29" s="29"/>
      <c r="F29" s="29"/>
      <c r="G29" s="38">
        <f>G28/$L$28</f>
        <v>6.0150375939849621E-2</v>
      </c>
      <c r="H29" s="38">
        <f t="shared" ref="H29:K29" si="13">H28/$L$28</f>
        <v>5.2631578947368425E-2</v>
      </c>
      <c r="I29" s="38">
        <f t="shared" si="13"/>
        <v>0.19278195488721805</v>
      </c>
      <c r="J29" s="38">
        <f t="shared" si="13"/>
        <v>4.1804511278195483E-2</v>
      </c>
      <c r="K29" s="38">
        <f t="shared" si="13"/>
        <v>0.65263157894736834</v>
      </c>
      <c r="L29" s="38">
        <f>SUM(G29:K29)</f>
        <v>0.99999999999999989</v>
      </c>
      <c r="M29" s="29"/>
    </row>
    <row r="30" spans="1:14" hidden="1" x14ac:dyDescent="0.25">
      <c r="A30" s="29"/>
      <c r="B30" s="29"/>
      <c r="C30" s="29"/>
      <c r="D30" s="29"/>
      <c r="E30" s="29"/>
      <c r="F30" s="29"/>
      <c r="G30" s="53">
        <f>G28/$L$28</f>
        <v>6.0150375939849621E-2</v>
      </c>
      <c r="H30" s="53">
        <f t="shared" ref="H30:K30" si="14">H28/$L$28</f>
        <v>5.2631578947368425E-2</v>
      </c>
      <c r="I30" s="53">
        <f t="shared" si="14"/>
        <v>0.19278195488721805</v>
      </c>
      <c r="J30" s="53">
        <f t="shared" si="14"/>
        <v>4.1804511278195483E-2</v>
      </c>
      <c r="K30" s="53">
        <f t="shared" si="14"/>
        <v>0.65263157894736834</v>
      </c>
      <c r="L30" s="53">
        <f>SUM(G30:K30)</f>
        <v>0.99999999999999989</v>
      </c>
      <c r="M30" s="29"/>
    </row>
    <row r="31" spans="1:14" hidden="1" x14ac:dyDescent="0.25">
      <c r="A31" s="29"/>
      <c r="B31" s="29"/>
      <c r="C31" s="29"/>
      <c r="D31" s="29"/>
      <c r="E31" s="29"/>
      <c r="F31" s="29"/>
      <c r="G31" s="52">
        <f>($C$4-5%)*G30</f>
        <v>6.0150375939849589E-4</v>
      </c>
      <c r="H31" s="52">
        <f>($C$4-5%)*H30</f>
        <v>5.2631578947368398E-4</v>
      </c>
      <c r="I31" s="52">
        <f>($C$4-5%)*I30</f>
        <v>1.9278195488721796E-3</v>
      </c>
      <c r="J31" s="52">
        <f>($C$4-5%)*J30</f>
        <v>4.1804511278195465E-4</v>
      </c>
      <c r="K31" s="52">
        <f>($C$4-5%)*K30</f>
        <v>6.5263157894736804E-3</v>
      </c>
      <c r="L31" s="60">
        <v>0.05</v>
      </c>
      <c r="M31" s="61">
        <f>SUM(G31:L31)</f>
        <v>0.06</v>
      </c>
    </row>
    <row r="32" spans="1:14" hidden="1" x14ac:dyDescent="0.25">
      <c r="A32" s="29"/>
      <c r="B32" s="29"/>
      <c r="C32" s="29"/>
      <c r="D32" s="29"/>
      <c r="E32" s="29"/>
      <c r="F32" s="29"/>
      <c r="G32" s="53">
        <f>ROUND(G31,4)</f>
        <v>5.9999999999999995E-4</v>
      </c>
      <c r="H32" s="53">
        <f t="shared" ref="H32:L32" si="15">ROUND(H31,4)</f>
        <v>5.0000000000000001E-4</v>
      </c>
      <c r="I32" s="53">
        <f t="shared" si="15"/>
        <v>1.9E-3</v>
      </c>
      <c r="J32" s="53">
        <f t="shared" si="15"/>
        <v>4.0000000000000002E-4</v>
      </c>
      <c r="K32" s="53">
        <f t="shared" si="15"/>
        <v>6.4999999999999997E-3</v>
      </c>
      <c r="L32" s="53">
        <f t="shared" si="15"/>
        <v>0.05</v>
      </c>
      <c r="M32" s="61">
        <f>SUM(G32:L32)</f>
        <v>5.9900000000000002E-2</v>
      </c>
      <c r="N32" s="19">
        <f>-M32+M31</f>
        <v>9.9999999999995925E-5</v>
      </c>
    </row>
    <row r="33" spans="1:13" hidden="1" x14ac:dyDescent="0.25">
      <c r="A33" s="29"/>
      <c r="B33" s="29"/>
      <c r="C33" s="29"/>
      <c r="D33" s="29"/>
      <c r="E33" s="29"/>
      <c r="F33" s="29"/>
      <c r="G33" s="53">
        <f>IF(G32=MAX($G$32:$L$32),(G32+$N$32),IF(G32&lt;&gt;MAX($G$32:$L$32),G32))</f>
        <v>5.9999999999999995E-4</v>
      </c>
      <c r="H33" s="53">
        <f t="shared" ref="H33:K33" si="16">IF(H32=MAX($G$32:$L$32),(H32+$N$32),IF(H32&lt;&gt;MAX($G$32:$L$32),H32))</f>
        <v>5.0000000000000001E-4</v>
      </c>
      <c r="I33" s="53">
        <f t="shared" si="16"/>
        <v>1.9E-3</v>
      </c>
      <c r="J33" s="53">
        <f t="shared" si="16"/>
        <v>4.0000000000000002E-4</v>
      </c>
      <c r="K33" s="53">
        <f t="shared" si="16"/>
        <v>6.4999999999999997E-3</v>
      </c>
      <c r="L33" s="53">
        <f>IF(L32=MAX($G$17:$L$17),(L32+$M$20),IF(L32&lt;&gt;MAX($G$17:$L$17),L32))</f>
        <v>0.05</v>
      </c>
      <c r="M33" s="53">
        <f>SUM(G33:L33)</f>
        <v>5.9900000000000002E-2</v>
      </c>
    </row>
    <row r="34" spans="1:13" hidden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idden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idden="1" x14ac:dyDescent="0.25">
      <c r="A36" s="29"/>
      <c r="B36" s="29"/>
      <c r="C36" s="29"/>
      <c r="D36" s="29"/>
      <c r="E36" s="29"/>
      <c r="F36" s="29"/>
      <c r="G36" s="52" t="b">
        <f>IF($C$4&lt;=$N$4,($C$4)*G12)</f>
        <v>0</v>
      </c>
      <c r="H36" s="52" t="b">
        <f t="shared" ref="H36:L36" si="17">IF($C$4&lt;=$N$4,($C$4)*H12)</f>
        <v>0</v>
      </c>
      <c r="I36" s="52" t="b">
        <f t="shared" si="17"/>
        <v>0</v>
      </c>
      <c r="J36" s="52" t="b">
        <f t="shared" si="17"/>
        <v>0</v>
      </c>
      <c r="K36" s="52" t="b">
        <f t="shared" si="17"/>
        <v>0</v>
      </c>
      <c r="L36" s="52" t="b">
        <f t="shared" si="17"/>
        <v>0</v>
      </c>
      <c r="M36" s="29"/>
    </row>
    <row r="37" spans="1:13" hidden="1" x14ac:dyDescent="0.25">
      <c r="A37" s="29"/>
      <c r="B37" s="29"/>
      <c r="C37" s="29"/>
      <c r="D37" s="29"/>
      <c r="E37" s="29"/>
      <c r="F37" s="29"/>
      <c r="G37" s="52">
        <f>IF($C$4&gt;$N$4,($C$4-$R$9)*G30)</f>
        <v>3.6090225563909771E-3</v>
      </c>
      <c r="H37" s="52">
        <f t="shared" ref="H37:K37" si="18">IF($C$4&gt;$N$4,($C$4-$R$9)*H30)</f>
        <v>3.1578947368421052E-3</v>
      </c>
      <c r="I37" s="52">
        <f t="shared" si="18"/>
        <v>1.1566917293233083E-2</v>
      </c>
      <c r="J37" s="52">
        <f t="shared" si="18"/>
        <v>2.5082706766917291E-3</v>
      </c>
      <c r="K37" s="52">
        <f t="shared" si="18"/>
        <v>3.91578947368421E-2</v>
      </c>
      <c r="L37" s="29"/>
      <c r="M37" s="29"/>
    </row>
    <row r="38" spans="1:13" hidden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idden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idden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idden="1" x14ac:dyDescent="0.25">
      <c r="A41" s="29"/>
      <c r="B41" s="29"/>
      <c r="C41" s="29"/>
      <c r="D41" s="29"/>
      <c r="E41" s="29"/>
      <c r="F41" s="29"/>
      <c r="G41" s="38">
        <v>0.04</v>
      </c>
      <c r="H41" s="38">
        <v>3.5000000000000003E-2</v>
      </c>
      <c r="I41" s="38">
        <v>0.12820000000000001</v>
      </c>
      <c r="J41" s="38">
        <v>2.7799999999999998E-2</v>
      </c>
      <c r="K41" s="38">
        <v>0.434</v>
      </c>
      <c r="L41" s="53">
        <f>SUM(G41:K41)</f>
        <v>0.66500000000000004</v>
      </c>
      <c r="M41" s="29"/>
    </row>
    <row r="42" spans="1:13" hidden="1" x14ac:dyDescent="0.25">
      <c r="A42" s="29"/>
      <c r="B42" s="29"/>
      <c r="C42" s="29"/>
      <c r="D42" s="29"/>
      <c r="E42" s="29"/>
      <c r="F42" s="29"/>
      <c r="G42" s="53">
        <f>G41/$L$41</f>
        <v>6.0150375939849621E-2</v>
      </c>
      <c r="H42" s="53">
        <f t="shared" ref="H42:K42" si="19">H41/$L$41</f>
        <v>5.2631578947368425E-2</v>
      </c>
      <c r="I42" s="53">
        <f t="shared" si="19"/>
        <v>0.19278195488721805</v>
      </c>
      <c r="J42" s="53">
        <f t="shared" si="19"/>
        <v>4.1804511278195483E-2</v>
      </c>
      <c r="K42" s="53">
        <f t="shared" si="19"/>
        <v>0.65263157894736834</v>
      </c>
      <c r="L42" s="29"/>
      <c r="M42" s="29"/>
    </row>
    <row r="43" spans="1:13" hidden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4">
    <mergeCell ref="B2:B3"/>
    <mergeCell ref="C2:C3"/>
    <mergeCell ref="D2:I2"/>
    <mergeCell ref="G6:L6"/>
  </mergeCells>
  <conditionalFormatting sqref="G20:L20">
    <cfRule type="expression" dxfId="11" priority="8">
      <formula>"SE+$G$19&lt;&gt;0"</formula>
    </cfRule>
  </conditionalFormatting>
  <conditionalFormatting sqref="G20:L20">
    <cfRule type="cellIs" dxfId="10" priority="5" operator="notEqual">
      <formula>0</formula>
    </cfRule>
    <cfRule type="cellIs" dxfId="9" priority="6" operator="lessThan">
      <formula>0</formula>
    </cfRule>
    <cfRule type="cellIs" dxfId="8" priority="7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0"/>
  <sheetViews>
    <sheetView zoomScale="110" zoomScaleNormal="110" workbookViewId="0">
      <selection activeCell="D9" sqref="D9"/>
    </sheetView>
  </sheetViews>
  <sheetFormatPr defaultRowHeight="15" x14ac:dyDescent="0.25"/>
  <cols>
    <col min="1" max="1" width="23.7109375" customWidth="1"/>
    <col min="2" max="2" width="21.7109375" bestFit="1" customWidth="1"/>
    <col min="3" max="3" width="15.5703125" bestFit="1" customWidth="1"/>
    <col min="4" max="4" width="15.7109375" bestFit="1" customWidth="1"/>
    <col min="5" max="8" width="15.7109375" customWidth="1"/>
    <col min="9" max="9" width="9.140625" customWidth="1"/>
    <col min="10" max="10" width="9.85546875" customWidth="1"/>
    <col min="11" max="11" width="9.140625" hidden="1" customWidth="1"/>
    <col min="12" max="12" width="9.140625" customWidth="1"/>
    <col min="13" max="13" width="13.42578125" bestFit="1" customWidth="1"/>
    <col min="14" max="14" width="13.42578125" hidden="1" customWidth="1"/>
    <col min="15" max="15" width="9.140625" hidden="1" customWidth="1"/>
    <col min="16" max="16" width="11.42578125" hidden="1" customWidth="1"/>
    <col min="17" max="17" width="7" hidden="1" customWidth="1"/>
    <col min="18" max="23" width="0" hidden="1" customWidth="1"/>
  </cols>
  <sheetData>
    <row r="2" spans="1:20" ht="15.75" x14ac:dyDescent="0.25">
      <c r="B2" s="23" t="s">
        <v>6</v>
      </c>
      <c r="C2" s="24" t="s">
        <v>18</v>
      </c>
      <c r="D2" s="25" t="s">
        <v>19</v>
      </c>
      <c r="E2" s="25"/>
      <c r="F2" s="25"/>
      <c r="G2" s="25"/>
      <c r="H2" s="25"/>
      <c r="I2" s="25"/>
    </row>
    <row r="3" spans="1:20" ht="21" x14ac:dyDescent="0.25">
      <c r="B3" s="41"/>
      <c r="C3" s="42"/>
      <c r="D3" s="43" t="s">
        <v>0</v>
      </c>
      <c r="E3" s="43" t="s">
        <v>1</v>
      </c>
      <c r="F3" s="43" t="s">
        <v>2</v>
      </c>
      <c r="G3" s="43" t="s">
        <v>3</v>
      </c>
      <c r="H3" s="43" t="s">
        <v>23</v>
      </c>
      <c r="P3" s="16" t="s">
        <v>4</v>
      </c>
    </row>
    <row r="4" spans="1:20" ht="31.5" x14ac:dyDescent="0.4">
      <c r="A4" s="44" t="s">
        <v>17</v>
      </c>
      <c r="B4" s="45">
        <v>180000</v>
      </c>
      <c r="C4" s="46">
        <f>D16</f>
        <v>4.4999999999999998E-2</v>
      </c>
      <c r="D4" s="46">
        <f>G25</f>
        <v>8.5000000000000006E-3</v>
      </c>
      <c r="E4" s="46">
        <f t="shared" ref="E4:G4" si="0">H25</f>
        <v>6.7999999999999996E-3</v>
      </c>
      <c r="F4" s="46">
        <f t="shared" si="0"/>
        <v>8.0000000000000002E-3</v>
      </c>
      <c r="G4" s="46">
        <f t="shared" si="0"/>
        <v>1.6999999999999999E-3</v>
      </c>
      <c r="H4" s="46">
        <f>L25</f>
        <v>0.02</v>
      </c>
      <c r="P4" s="17">
        <f>K25</f>
        <v>0</v>
      </c>
    </row>
    <row r="5" spans="1:20" ht="26.25" x14ac:dyDescent="0.4">
      <c r="A5" s="26"/>
      <c r="B5" s="28"/>
      <c r="C5" s="27"/>
      <c r="D5" s="27"/>
      <c r="E5" s="27"/>
      <c r="F5" s="27"/>
      <c r="G5" s="27"/>
      <c r="H5" s="27"/>
      <c r="I5" s="29"/>
      <c r="J5" s="29"/>
      <c r="K5" s="29"/>
      <c r="L5" s="29"/>
      <c r="M5" s="29"/>
      <c r="P5" s="17"/>
    </row>
    <row r="6" spans="1:20" ht="32.25" customHeight="1" x14ac:dyDescent="0.25">
      <c r="A6" s="29"/>
      <c r="B6" s="29"/>
      <c r="C6" s="29"/>
      <c r="D6" s="29"/>
      <c r="E6" s="29"/>
      <c r="F6" s="29"/>
      <c r="G6" s="30" t="s">
        <v>21</v>
      </c>
      <c r="H6" s="30"/>
      <c r="I6" s="30"/>
      <c r="J6" s="30"/>
      <c r="K6" s="30"/>
      <c r="L6" s="30"/>
      <c r="M6" s="29"/>
    </row>
    <row r="7" spans="1:20" ht="30.75" thickBot="1" x14ac:dyDescent="0.3">
      <c r="A7" s="29"/>
      <c r="B7" s="31" t="s">
        <v>7</v>
      </c>
      <c r="C7" s="31" t="s">
        <v>8</v>
      </c>
      <c r="D7" s="31" t="s">
        <v>20</v>
      </c>
      <c r="E7" s="31" t="s">
        <v>9</v>
      </c>
      <c r="F7" s="29"/>
      <c r="G7" s="31" t="s">
        <v>0</v>
      </c>
      <c r="H7" s="31" t="s">
        <v>1</v>
      </c>
      <c r="I7" s="31" t="s">
        <v>2</v>
      </c>
      <c r="J7" s="31" t="s">
        <v>3</v>
      </c>
      <c r="K7" s="62" t="s">
        <v>4</v>
      </c>
      <c r="L7" s="31" t="s">
        <v>23</v>
      </c>
      <c r="M7" s="29"/>
    </row>
    <row r="8" spans="1:20" ht="15.75" thickBot="1" x14ac:dyDescent="0.3">
      <c r="A8" s="32" t="s">
        <v>10</v>
      </c>
      <c r="B8" s="33">
        <v>0</v>
      </c>
      <c r="C8" s="34">
        <v>180000</v>
      </c>
      <c r="D8" s="48">
        <v>4.4999999999999998E-2</v>
      </c>
      <c r="E8" s="36">
        <v>0</v>
      </c>
      <c r="F8" s="37" t="s">
        <v>10</v>
      </c>
      <c r="G8" s="38">
        <v>0.188</v>
      </c>
      <c r="H8" s="38">
        <v>0.152</v>
      </c>
      <c r="I8" s="38">
        <v>0.1767</v>
      </c>
      <c r="J8" s="38">
        <v>3.8300000000000001E-2</v>
      </c>
      <c r="K8" s="38">
        <v>0</v>
      </c>
      <c r="L8" s="38">
        <v>0.44500000000000001</v>
      </c>
      <c r="M8" s="29"/>
      <c r="P8" s="14">
        <v>0.188</v>
      </c>
      <c r="Q8" s="15">
        <v>0.152</v>
      </c>
      <c r="R8" s="15">
        <v>0.1767</v>
      </c>
      <c r="S8" s="15">
        <v>3.8300000000000001E-2</v>
      </c>
      <c r="T8" s="15">
        <v>0.44500000000000001</v>
      </c>
    </row>
    <row r="9" spans="1:20" ht="15.75" thickBot="1" x14ac:dyDescent="0.3">
      <c r="A9" s="32" t="s">
        <v>11</v>
      </c>
      <c r="B9" s="39">
        <v>180000.01</v>
      </c>
      <c r="C9" s="40">
        <v>360000</v>
      </c>
      <c r="D9" s="48">
        <v>0.09</v>
      </c>
      <c r="E9" s="36">
        <v>8100</v>
      </c>
      <c r="F9" s="37" t="s">
        <v>11</v>
      </c>
      <c r="G9" s="38">
        <v>0.19800000000000001</v>
      </c>
      <c r="H9" s="38">
        <v>0.152</v>
      </c>
      <c r="I9" s="38">
        <v>0.20549999999999999</v>
      </c>
      <c r="J9" s="38">
        <v>4.4499999999999998E-2</v>
      </c>
      <c r="K9" s="38">
        <v>0</v>
      </c>
      <c r="L9" s="38">
        <v>0.4</v>
      </c>
      <c r="M9" s="29"/>
      <c r="P9" s="20">
        <v>0.19800000000000001</v>
      </c>
      <c r="Q9" s="21">
        <v>0.152</v>
      </c>
      <c r="R9" s="21">
        <v>0.20549999999999999</v>
      </c>
      <c r="S9" s="21">
        <v>4.4499999999999998E-2</v>
      </c>
      <c r="T9" s="21">
        <v>0.4</v>
      </c>
    </row>
    <row r="10" spans="1:20" ht="15.75" thickBot="1" x14ac:dyDescent="0.3">
      <c r="A10" s="32" t="s">
        <v>12</v>
      </c>
      <c r="B10" s="39">
        <v>360000.01</v>
      </c>
      <c r="C10" s="40">
        <v>720000</v>
      </c>
      <c r="D10" s="48">
        <v>0.10199999999999999</v>
      </c>
      <c r="E10" s="36">
        <v>12420</v>
      </c>
      <c r="F10" s="37" t="s">
        <v>12</v>
      </c>
      <c r="G10" s="38">
        <v>0.20799999999999999</v>
      </c>
      <c r="H10" s="38">
        <v>0.152</v>
      </c>
      <c r="I10" s="38">
        <v>0.1973</v>
      </c>
      <c r="J10" s="38">
        <v>4.2700000000000002E-2</v>
      </c>
      <c r="K10" s="38">
        <v>0</v>
      </c>
      <c r="L10" s="38">
        <v>0.4</v>
      </c>
      <c r="M10" s="29"/>
      <c r="N10" s="18">
        <v>0.05</v>
      </c>
      <c r="O10" s="19">
        <f>N10/L11</f>
        <v>0.125</v>
      </c>
      <c r="P10" s="20">
        <v>0.20799999999999999</v>
      </c>
      <c r="Q10" s="21">
        <v>0.152</v>
      </c>
      <c r="R10" s="21">
        <v>0.1973</v>
      </c>
      <c r="S10" s="21">
        <v>4.2700000000000002E-2</v>
      </c>
      <c r="T10" s="21">
        <v>0.4</v>
      </c>
    </row>
    <row r="11" spans="1:20" ht="15.75" thickBot="1" x14ac:dyDescent="0.3">
      <c r="A11" s="32" t="s">
        <v>13</v>
      </c>
      <c r="B11" s="39">
        <v>720000.01</v>
      </c>
      <c r="C11" s="40">
        <v>1800000</v>
      </c>
      <c r="D11" s="48">
        <v>0.14000000000000001</v>
      </c>
      <c r="E11" s="36">
        <v>39780</v>
      </c>
      <c r="F11" s="37" t="s">
        <v>13</v>
      </c>
      <c r="G11" s="38">
        <v>0.17799999999999999</v>
      </c>
      <c r="H11" s="38">
        <v>0.192</v>
      </c>
      <c r="I11" s="38">
        <v>0.189</v>
      </c>
      <c r="J11" s="38">
        <v>4.1000000000000002E-2</v>
      </c>
      <c r="K11" s="38">
        <v>0</v>
      </c>
      <c r="L11" s="38">
        <v>0.4</v>
      </c>
      <c r="M11" s="29"/>
      <c r="O11" s="10">
        <f>N10/L12</f>
        <v>0.125</v>
      </c>
      <c r="P11" s="20">
        <v>0.17799999999999999</v>
      </c>
      <c r="Q11" s="21">
        <v>0.192</v>
      </c>
      <c r="R11" s="21">
        <v>0.189</v>
      </c>
      <c r="S11" s="21">
        <v>4.1000000000000002E-2</v>
      </c>
      <c r="T11" s="21">
        <v>0.4</v>
      </c>
    </row>
    <row r="12" spans="1:20" ht="15.75" thickBot="1" x14ac:dyDescent="0.3">
      <c r="A12" s="32" t="s">
        <v>14</v>
      </c>
      <c r="B12" s="39">
        <v>1800000.01</v>
      </c>
      <c r="C12" s="40">
        <v>3600000</v>
      </c>
      <c r="D12" s="48">
        <v>0.22</v>
      </c>
      <c r="E12" s="36">
        <v>183780</v>
      </c>
      <c r="F12" s="37" t="s">
        <v>14</v>
      </c>
      <c r="G12" s="38">
        <v>0.188</v>
      </c>
      <c r="H12" s="38">
        <v>0.192</v>
      </c>
      <c r="I12" s="38">
        <v>0.18079999999999999</v>
      </c>
      <c r="J12" s="38">
        <v>3.9199999999999999E-2</v>
      </c>
      <c r="K12" s="38">
        <v>0</v>
      </c>
      <c r="L12" s="38">
        <v>0.4</v>
      </c>
      <c r="M12" s="29"/>
      <c r="O12" s="10">
        <f>N10/L10</f>
        <v>0.125</v>
      </c>
      <c r="P12" s="20">
        <v>0.188</v>
      </c>
      <c r="Q12" s="21">
        <v>0.192</v>
      </c>
      <c r="R12" s="21">
        <v>0.18079999999999999</v>
      </c>
      <c r="S12" s="21">
        <v>3.9199999999999999E-2</v>
      </c>
      <c r="T12" s="21">
        <v>0.4</v>
      </c>
    </row>
    <row r="13" spans="1:20" ht="15.75" thickBot="1" x14ac:dyDescent="0.3">
      <c r="A13" s="32" t="s">
        <v>15</v>
      </c>
      <c r="B13" s="39">
        <v>3600000.01</v>
      </c>
      <c r="C13" s="40">
        <v>4800000</v>
      </c>
      <c r="D13" s="48">
        <v>0.33</v>
      </c>
      <c r="E13" s="36">
        <v>828000</v>
      </c>
      <c r="F13" s="37" t="s">
        <v>15</v>
      </c>
      <c r="G13" s="38">
        <v>0.53500000000000003</v>
      </c>
      <c r="H13" s="38">
        <v>0.215</v>
      </c>
      <c r="I13" s="38">
        <v>0.20549999999999999</v>
      </c>
      <c r="J13" s="38">
        <v>4.4499999999999998E-2</v>
      </c>
      <c r="K13" s="63" t="s">
        <v>24</v>
      </c>
      <c r="L13" s="38">
        <v>0</v>
      </c>
      <c r="M13" s="29"/>
      <c r="P13" s="20">
        <v>0.53500000000000003</v>
      </c>
      <c r="Q13" s="21">
        <v>0.215</v>
      </c>
      <c r="R13" s="21">
        <v>0.20549999999999999</v>
      </c>
      <c r="S13" s="21">
        <v>4.4499999999999998E-2</v>
      </c>
      <c r="T13" s="22" t="s">
        <v>24</v>
      </c>
    </row>
    <row r="14" spans="1:20" x14ac:dyDescent="0.25">
      <c r="A14" s="32"/>
      <c r="B14" s="49"/>
      <c r="C14" s="50"/>
      <c r="D14" s="29"/>
      <c r="E14" s="29"/>
      <c r="F14" s="29"/>
      <c r="G14" s="29"/>
      <c r="H14" s="29"/>
      <c r="I14" s="29"/>
      <c r="J14" s="29"/>
      <c r="K14" s="38"/>
      <c r="L14" s="29"/>
      <c r="M14" s="29"/>
    </row>
    <row r="15" spans="1:20" hidden="1" x14ac:dyDescent="0.25">
      <c r="A15" s="32" t="s">
        <v>10</v>
      </c>
      <c r="B15" s="49">
        <f t="shared" ref="B15:B20" si="1">IF(AND($B$4&gt;=B8,$B$4&lt;=C8),($B$4*D8-E8)/$B$4)</f>
        <v>4.4999999999999998E-2</v>
      </c>
      <c r="C15" s="50">
        <f t="shared" ref="C15" si="2">ROUND(B15,5)</f>
        <v>4.4999999999999998E-2</v>
      </c>
      <c r="D15" s="49">
        <f>IF(AND($B$4&gt;=B8,$B$4&lt;=C8),C15,IF(AND($B$4&gt;=B9,$B$4&lt;=C9),C16,IF(AND($B$4&gt;=B10,$B$4&lt;=C10),C17,IF(AND($B$4&gt;=B11,$B$4&lt;=C11),C18,IF(AND($B$4&gt;=B12,$B$4&lt;=C12),C19,IF(AND($B$4&gt;=B13,$B$4&lt;=C13),C20,IF(AND($B$4&gt;=#REF!,$B$4&lt;=#REF!),#REF!,IF(AND($B$4&gt;#REF!),C23))))))))</f>
        <v>4.4999999999999998E-2</v>
      </c>
      <c r="E15" s="29"/>
      <c r="F15" s="29"/>
      <c r="G15" s="31" t="s">
        <v>0</v>
      </c>
      <c r="H15" s="31" t="s">
        <v>1</v>
      </c>
      <c r="I15" s="31" t="s">
        <v>2</v>
      </c>
      <c r="J15" s="31" t="s">
        <v>3</v>
      </c>
      <c r="K15" s="31" t="s">
        <v>4</v>
      </c>
      <c r="L15" s="31" t="s">
        <v>23</v>
      </c>
      <c r="M15" s="29"/>
    </row>
    <row r="16" spans="1:20" hidden="1" x14ac:dyDescent="0.25">
      <c r="A16" s="32" t="s">
        <v>11</v>
      </c>
      <c r="B16" s="49" t="b">
        <f t="shared" si="1"/>
        <v>0</v>
      </c>
      <c r="C16" s="50">
        <f>ROUND(B16,5)</f>
        <v>0</v>
      </c>
      <c r="D16" s="49">
        <f>ROUND(D15,4)</f>
        <v>4.4999999999999998E-2</v>
      </c>
      <c r="E16" s="29"/>
      <c r="F16" s="29"/>
      <c r="G16" s="51">
        <f>IF(AND($B$4&gt;=$B$8,$B$4&lt;=$C$8),$C$4*G8,IF(AND($B$4&gt;=$B$9,$B$4&lt;=$C$9),$C$4*G9,IF(AND($B$4&gt;=$B$10,$B$4&lt;=$C$10),$C$4*G10,IF(AND($B$4&gt;=$B$11,$B$4&lt;=$C$11),$C$4*G11,IF(AND($B$4&gt;=$B$12,$B$4&lt;=$C$12),$C$4*G12,IF(AND($B$4&gt;=$B$13,$B$4&lt;=$C$13),$C$4*G13,IF(AND($B$4&gt;=#REF!,$B$4&lt;=#REF!),$C$4*#REF!,IF(AND($B$4&gt;#REF!),$C$4*#REF!))))))))</f>
        <v>8.4600000000000005E-3</v>
      </c>
      <c r="H16" s="51">
        <f>IF(AND($B$4&gt;=$B$8,$B$4&lt;=$C$8),$C$4*H8,IF(AND($B$4&gt;=$B$9,$B$4&lt;=$C$9),$C$4*H9,IF(AND($B$4&gt;=$B$10,$B$4&lt;=$C$10),$C$4*H10,IF(AND($B$4&gt;=$B$11,$B$4&lt;=$C$11),$C$4*H11,IF(AND($B$4&gt;=$B$12,$B$4&lt;=$C$12),$C$4*H12,IF(AND($B$4&gt;=$B$13,$B$4&lt;=$C$13),$C$4*H13,IF(AND($B$4&gt;=#REF!,$B$4&lt;=#REF!),$C$4*#REF!,IF(AND($B$4&gt;#REF!),$C$4*#REF!))))))))</f>
        <v>6.8399999999999997E-3</v>
      </c>
      <c r="I16" s="51">
        <f>IF(AND($B$4&gt;=$B$8,$B$4&lt;=$C$8),$C$4*I8,IF(AND($B$4&gt;=$B$9,$B$4&lt;=$C$9),$C$4*I9,IF(AND($B$4&gt;=$B$10,$B$4&lt;=$C$10),$C$4*I10,IF(AND($B$4&gt;=$B$11,$B$4&lt;=$C$11),$C$4*I11,IF(AND($B$4&gt;=$B$12,$B$4&lt;=$C$12),$C$4*I12,IF(AND($B$4&gt;=$B$13,$B$4&lt;=$C$13),$C$4*I13,IF(AND($B$4&gt;=#REF!,$B$4&lt;=#REF!),$C$4*#REF!,IF(AND($B$4&gt;#REF!),$C$4*#REF!))))))))</f>
        <v>7.9515000000000002E-3</v>
      </c>
      <c r="J16" s="52">
        <f>IF(AND($B$4&gt;=$B$8,$B$4&lt;=$C$8),$C$4*J8,IF(AND($B$4&gt;=$B$9,$B$4&lt;=$C$9),$C$4*J9,IF(AND($B$4&gt;=$B$10,$B$4&lt;=$C$10),$C$4*J10,IF(AND($B$4&gt;=$B$11,$B$4&lt;=$C$11),$C$4*J11,IF(AND($B$4&gt;=$B$12,$B$4&lt;=$C$12),$C$4*J12,IF(AND($B$4&gt;=$B$13,$B$4&lt;=$C$13),$C$4*J13,IF(AND($B$4&gt;=#REF!,$B$4&lt;=#REF!),$C$4*#REF!,IF(AND($B$4&gt;#REF!),$C$4*#REF!))))))))</f>
        <v>1.7235E-3</v>
      </c>
      <c r="K16" s="51">
        <v>0</v>
      </c>
      <c r="L16" s="51">
        <f>IF(AND($B$4&gt;=$B$8,$B$4&lt;=$C$8),$C$4*L8,IF(AND($B$4&gt;=$B$9,$B$4&lt;=$C$9),$C$4*L9,IF(AND($B$4&gt;=$B$10,$B$4&lt;=$C$10),$C$4*L10,IF(AND($B$4&gt;=$B$11,$B$4&lt;=$C$11),$C$4*L11,IF(AND($B$4&gt;=$B$12,$B$4&lt;=$C$12),$C$4*L12,IF(AND($B$4&gt;=$B$13,$B$4&lt;=$C$13),$C$4*L13,IF(AND($B$4&gt;=#REF!,$B$4&lt;=#REF!),$C$4*#REF!,IF(AND($B$4&gt;#REF!),$C$4*#REF!))))))))</f>
        <v>2.0025000000000001E-2</v>
      </c>
      <c r="M16" s="56">
        <f>SUM(G16:L16)</f>
        <v>4.4999999999999998E-2</v>
      </c>
    </row>
    <row r="17" spans="1:14" hidden="1" x14ac:dyDescent="0.25">
      <c r="A17" s="32" t="s">
        <v>12</v>
      </c>
      <c r="B17" s="49" t="b">
        <f t="shared" si="1"/>
        <v>0</v>
      </c>
      <c r="C17" s="50">
        <f t="shared" ref="C17:C20" si="3">ROUND(B17,5)</f>
        <v>0</v>
      </c>
      <c r="D17" s="29"/>
      <c r="E17" s="29"/>
      <c r="F17" s="29"/>
      <c r="G17" s="52">
        <f>ROUND(G16,4)</f>
        <v>8.5000000000000006E-3</v>
      </c>
      <c r="H17" s="52">
        <f t="shared" ref="H17:L17" si="4">ROUND(H16,4)</f>
        <v>6.7999999999999996E-3</v>
      </c>
      <c r="I17" s="52">
        <f t="shared" si="4"/>
        <v>8.0000000000000002E-3</v>
      </c>
      <c r="J17" s="52">
        <f t="shared" si="4"/>
        <v>1.6999999999999999E-3</v>
      </c>
      <c r="K17" s="52">
        <f t="shared" si="4"/>
        <v>0</v>
      </c>
      <c r="L17" s="52">
        <f t="shared" si="4"/>
        <v>0.02</v>
      </c>
      <c r="M17" s="50">
        <f>SUM(G17:L17)</f>
        <v>4.4999999999999998E-2</v>
      </c>
    </row>
    <row r="18" spans="1:14" ht="23.25" hidden="1" x14ac:dyDescent="0.35">
      <c r="A18" s="32" t="s">
        <v>13</v>
      </c>
      <c r="B18" s="49" t="b">
        <f t="shared" si="1"/>
        <v>0</v>
      </c>
      <c r="C18" s="50">
        <f t="shared" si="3"/>
        <v>0</v>
      </c>
      <c r="D18" s="29"/>
      <c r="E18" s="29"/>
      <c r="F18" s="29"/>
      <c r="G18" s="53">
        <f t="shared" ref="G18:L18" si="5">IF(G17=MAX($G$17:$L$17),(G17+$M$20),IF(G17&lt;&gt;MAX($G$17:$L$17),G17))</f>
        <v>8.5000000000000006E-3</v>
      </c>
      <c r="H18" s="53">
        <f t="shared" si="5"/>
        <v>6.7999999999999996E-3</v>
      </c>
      <c r="I18" s="53">
        <f t="shared" si="5"/>
        <v>8.0000000000000002E-3</v>
      </c>
      <c r="J18" s="53">
        <f t="shared" si="5"/>
        <v>1.6999999999999999E-3</v>
      </c>
      <c r="K18" s="53">
        <f t="shared" si="5"/>
        <v>0</v>
      </c>
      <c r="L18" s="53">
        <f t="shared" si="5"/>
        <v>0.02</v>
      </c>
      <c r="M18" s="50">
        <f>SUM(G18:L18)</f>
        <v>4.4999999999999998E-2</v>
      </c>
      <c r="N18" s="12">
        <f>SUM(G18:L18)</f>
        <v>4.4999999999999998E-2</v>
      </c>
    </row>
    <row r="19" spans="1:14" ht="23.25" hidden="1" x14ac:dyDescent="0.35">
      <c r="A19" s="32" t="s">
        <v>14</v>
      </c>
      <c r="B19" s="49" t="b">
        <f t="shared" si="1"/>
        <v>0</v>
      </c>
      <c r="C19" s="50">
        <f t="shared" si="3"/>
        <v>0</v>
      </c>
      <c r="D19" s="29"/>
      <c r="E19" s="29"/>
      <c r="F19" s="29"/>
      <c r="G19" s="53">
        <f>ROUND(G18,4)</f>
        <v>8.5000000000000006E-3</v>
      </c>
      <c r="H19" s="53">
        <f t="shared" ref="H19:L19" si="6">ROUND(H18,4)</f>
        <v>6.7999999999999996E-3</v>
      </c>
      <c r="I19" s="53">
        <f t="shared" si="6"/>
        <v>8.0000000000000002E-3</v>
      </c>
      <c r="J19" s="53">
        <f t="shared" si="6"/>
        <v>1.6999999999999999E-3</v>
      </c>
      <c r="K19" s="53">
        <f t="shared" si="6"/>
        <v>0</v>
      </c>
      <c r="L19" s="53">
        <f t="shared" si="6"/>
        <v>0.02</v>
      </c>
      <c r="M19" s="29"/>
      <c r="N19" s="7" t="str">
        <f>IF(C4=N18,"OK")</f>
        <v>OK</v>
      </c>
    </row>
    <row r="20" spans="1:14" hidden="1" x14ac:dyDescent="0.25">
      <c r="A20" s="32" t="s">
        <v>15</v>
      </c>
      <c r="B20" s="49" t="b">
        <f t="shared" si="1"/>
        <v>0</v>
      </c>
      <c r="C20" s="50">
        <f t="shared" si="3"/>
        <v>0</v>
      </c>
      <c r="D20" s="29"/>
      <c r="E20" s="29"/>
      <c r="F20" s="29"/>
      <c r="G20" s="53">
        <f>G19-G17</f>
        <v>0</v>
      </c>
      <c r="H20" s="53">
        <f t="shared" ref="H20:L20" si="7">H19-H17</f>
        <v>0</v>
      </c>
      <c r="I20" s="53">
        <f t="shared" si="7"/>
        <v>0</v>
      </c>
      <c r="J20" s="53">
        <f t="shared" si="7"/>
        <v>0</v>
      </c>
      <c r="K20" s="53">
        <f t="shared" si="7"/>
        <v>0</v>
      </c>
      <c r="L20" s="53">
        <f t="shared" si="7"/>
        <v>0</v>
      </c>
      <c r="M20" s="50">
        <f>C4-M17</f>
        <v>0</v>
      </c>
    </row>
    <row r="21" spans="1:14" hidden="1" x14ac:dyDescent="0.25">
      <c r="A21" s="32"/>
      <c r="B21" s="49"/>
      <c r="C21" s="50"/>
      <c r="D21" s="29"/>
      <c r="E21" s="29"/>
      <c r="F21" s="29"/>
      <c r="G21" s="53">
        <f>G19</f>
        <v>8.5000000000000006E-3</v>
      </c>
      <c r="H21" s="53">
        <f>H19</f>
        <v>6.7999999999999996E-3</v>
      </c>
      <c r="I21" s="53">
        <f>I19</f>
        <v>8.0000000000000002E-3</v>
      </c>
      <c r="J21" s="53">
        <f t="shared" ref="J21:L21" si="8">J19</f>
        <v>1.6999999999999999E-3</v>
      </c>
      <c r="K21" s="53">
        <f t="shared" si="8"/>
        <v>0</v>
      </c>
      <c r="L21" s="53">
        <f t="shared" si="8"/>
        <v>0.02</v>
      </c>
      <c r="M21" s="53">
        <f>L21-N10</f>
        <v>-3.0000000000000002E-2</v>
      </c>
      <c r="N21" s="10">
        <f>IF(M21&gt;0,M21,0)</f>
        <v>0</v>
      </c>
    </row>
    <row r="22" spans="1:14" hidden="1" x14ac:dyDescent="0.25">
      <c r="A22" s="32"/>
      <c r="B22" s="49"/>
      <c r="C22" s="50"/>
      <c r="D22" s="29"/>
      <c r="E22" s="29"/>
      <c r="F22" s="29"/>
      <c r="G22" s="53">
        <f>$N$21*G30</f>
        <v>0</v>
      </c>
      <c r="H22" s="53">
        <f t="shared" ref="H22:K22" si="9">$N$21*H30</f>
        <v>0</v>
      </c>
      <c r="I22" s="53">
        <f t="shared" si="9"/>
        <v>0</v>
      </c>
      <c r="J22" s="53">
        <f t="shared" si="9"/>
        <v>0</v>
      </c>
      <c r="K22" s="53">
        <f t="shared" si="9"/>
        <v>0</v>
      </c>
      <c r="L22" s="29"/>
      <c r="M22" s="53">
        <f>SUM(G22:L22)</f>
        <v>0</v>
      </c>
    </row>
    <row r="23" spans="1:14" hidden="1" x14ac:dyDescent="0.25">
      <c r="A23" s="32"/>
      <c r="B23" s="49"/>
      <c r="C23" s="50"/>
      <c r="D23" s="29"/>
      <c r="E23" s="29"/>
      <c r="F23" s="29"/>
      <c r="G23" s="53">
        <f>G19+G22</f>
        <v>8.5000000000000006E-3</v>
      </c>
      <c r="H23" s="53">
        <f t="shared" ref="H23:K23" si="10">H19+H22</f>
        <v>6.7999999999999996E-3</v>
      </c>
      <c r="I23" s="53">
        <f t="shared" si="10"/>
        <v>8.0000000000000002E-3</v>
      </c>
      <c r="J23" s="53">
        <f t="shared" si="10"/>
        <v>1.6999999999999999E-3</v>
      </c>
      <c r="K23" s="53">
        <f t="shared" si="10"/>
        <v>0</v>
      </c>
      <c r="L23" s="53">
        <f>L21-N21</f>
        <v>0.02</v>
      </c>
      <c r="M23" s="53">
        <f>SUM(G23:L23)</f>
        <v>4.4999999999999998E-2</v>
      </c>
    </row>
    <row r="24" spans="1:14" hidden="1" x14ac:dyDescent="0.25">
      <c r="A24" s="29"/>
      <c r="B24" s="29"/>
      <c r="C24" s="29"/>
      <c r="D24" s="29"/>
      <c r="E24" s="29"/>
      <c r="F24" s="29"/>
      <c r="G24" s="53">
        <f>ROUND(G23,4)</f>
        <v>8.5000000000000006E-3</v>
      </c>
      <c r="H24" s="53">
        <f t="shared" ref="H24:K24" si="11">ROUND(H23,4)</f>
        <v>6.7999999999999996E-3</v>
      </c>
      <c r="I24" s="53">
        <f t="shared" si="11"/>
        <v>8.0000000000000002E-3</v>
      </c>
      <c r="J24" s="53">
        <f t="shared" si="11"/>
        <v>1.6999999999999999E-3</v>
      </c>
      <c r="K24" s="53">
        <f t="shared" si="11"/>
        <v>0</v>
      </c>
      <c r="L24" s="53">
        <f>TRUNC(L23,4)</f>
        <v>0.02</v>
      </c>
      <c r="M24" s="53">
        <f>SUM(G24:L24)</f>
        <v>4.4999999999999998E-2</v>
      </c>
      <c r="N24" s="10">
        <f>M23-M24</f>
        <v>0</v>
      </c>
    </row>
    <row r="25" spans="1:14" ht="23.25" hidden="1" x14ac:dyDescent="0.35">
      <c r="A25" s="29"/>
      <c r="B25" s="29"/>
      <c r="C25" s="29"/>
      <c r="D25" s="29"/>
      <c r="E25" s="29"/>
      <c r="F25" s="29"/>
      <c r="G25" s="53">
        <f>IF(G24=MAX($G$24:$J$24),(G24+$N$24),IF(G24&lt;&gt;MAX($G$24:$J$24),G24))</f>
        <v>8.5000000000000006E-3</v>
      </c>
      <c r="H25" s="53">
        <f t="shared" ref="H25:J25" si="12">IF(H24=MAX($G$24:$J$24),(H24+$N$24),IF(H24&lt;&gt;MAX($G$24:$J$24),H24))</f>
        <v>6.7999999999999996E-3</v>
      </c>
      <c r="I25" s="53">
        <f t="shared" si="12"/>
        <v>8.0000000000000002E-3</v>
      </c>
      <c r="J25" s="53">
        <f t="shared" si="12"/>
        <v>1.6999999999999999E-3</v>
      </c>
      <c r="K25" s="53">
        <f t="shared" ref="K25" si="13">IF(K24=MAX($G$24:$L$24),(K24+$N$24),IF(K24&lt;&gt;MAX($G$24:$L$24),K24))</f>
        <v>0</v>
      </c>
      <c r="L25" s="53">
        <f>L24</f>
        <v>0.02</v>
      </c>
      <c r="M25" s="59">
        <f>SUM(G25:L25)</f>
        <v>4.4999999999999998E-2</v>
      </c>
    </row>
    <row r="26" spans="1:14" hidden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4" hidden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4" hidden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4" hidden="1" x14ac:dyDescent="0.25">
      <c r="A29" s="29"/>
      <c r="B29" s="29"/>
      <c r="C29" s="29"/>
      <c r="D29" s="29"/>
      <c r="E29" s="29"/>
      <c r="F29" s="29"/>
      <c r="G29" s="38">
        <v>0.188</v>
      </c>
      <c r="H29" s="38">
        <v>0.192</v>
      </c>
      <c r="I29" s="38">
        <v>0.18079999999999999</v>
      </c>
      <c r="J29" s="38">
        <v>3.9199999999999999E-2</v>
      </c>
      <c r="K29" s="38">
        <f>SUM(G29:J29)</f>
        <v>0.6</v>
      </c>
      <c r="L29" s="53"/>
      <c r="M29" s="29"/>
    </row>
    <row r="30" spans="1:14" hidden="1" x14ac:dyDescent="0.25">
      <c r="A30" s="29"/>
      <c r="B30" s="29"/>
      <c r="C30" s="29"/>
      <c r="D30" s="29"/>
      <c r="E30" s="29"/>
      <c r="F30" s="29"/>
      <c r="G30" s="53">
        <f>G29/$K$29</f>
        <v>0.31333333333333335</v>
      </c>
      <c r="H30" s="53">
        <f t="shared" ref="H30:J30" si="14">H29/$K$29</f>
        <v>0.32</v>
      </c>
      <c r="I30" s="53">
        <f t="shared" si="14"/>
        <v>0.30133333333333334</v>
      </c>
      <c r="J30" s="53">
        <f t="shared" si="14"/>
        <v>6.533333333333334E-2</v>
      </c>
      <c r="K30" s="53"/>
      <c r="L30" s="29"/>
      <c r="M30" s="29"/>
    </row>
    <row r="31" spans="1:14" hidden="1" x14ac:dyDescent="0.25">
      <c r="A31" s="29"/>
      <c r="B31" s="29"/>
      <c r="C31" s="29"/>
      <c r="D31" s="29"/>
      <c r="E31" s="29"/>
      <c r="F31" s="29"/>
      <c r="G31" s="53">
        <f>ROUND(G30,4)</f>
        <v>0.31330000000000002</v>
      </c>
      <c r="H31" s="53">
        <v>0.33110000000000001</v>
      </c>
      <c r="I31" s="53">
        <f t="shared" ref="I31:J31" si="15">ROUND(I30,4)</f>
        <v>0.30130000000000001</v>
      </c>
      <c r="J31" s="53">
        <f t="shared" si="15"/>
        <v>6.5299999999999997E-2</v>
      </c>
      <c r="K31" s="53"/>
      <c r="L31" s="29"/>
      <c r="M31" s="29"/>
    </row>
    <row r="32" spans="1:14" hidden="1" x14ac:dyDescent="0.25">
      <c r="A32" s="29"/>
      <c r="B32" s="29"/>
      <c r="C32" s="29"/>
      <c r="D32" s="29"/>
      <c r="E32" s="29"/>
      <c r="F32" s="29"/>
      <c r="G32" s="52">
        <f>($C$4-5%)*G31</f>
        <v>-1.5665000000000015E-3</v>
      </c>
      <c r="H32" s="52">
        <f>($C$4-5%)*H31</f>
        <v>-1.6555000000000016E-3</v>
      </c>
      <c r="I32" s="52">
        <f>($C$4-5%)*I31</f>
        <v>-1.5065000000000013E-3</v>
      </c>
      <c r="J32" s="52">
        <f>($C$4-5%)*J31</f>
        <v>-3.2650000000000029E-4</v>
      </c>
      <c r="K32" s="52">
        <f>($C$4-5%)*K31</f>
        <v>0</v>
      </c>
      <c r="L32" s="60">
        <v>0.05</v>
      </c>
      <c r="M32" s="61">
        <f>SUM(G32:L32)</f>
        <v>4.4944999999999999E-2</v>
      </c>
    </row>
    <row r="33" spans="1:14" hidden="1" x14ac:dyDescent="0.25">
      <c r="A33" s="29"/>
      <c r="B33" s="29"/>
      <c r="C33" s="29"/>
      <c r="D33" s="29"/>
      <c r="E33" s="29"/>
      <c r="F33" s="29"/>
      <c r="G33" s="53">
        <f>ROUND(G32,4)</f>
        <v>-1.6000000000000001E-3</v>
      </c>
      <c r="H33" s="53">
        <f t="shared" ref="H33:L33" si="16">ROUND(H32,4)</f>
        <v>-1.6999999999999999E-3</v>
      </c>
      <c r="I33" s="53">
        <f t="shared" si="16"/>
        <v>-1.5E-3</v>
      </c>
      <c r="J33" s="53">
        <f t="shared" si="16"/>
        <v>-2.9999999999999997E-4</v>
      </c>
      <c r="K33" s="53">
        <f t="shared" si="16"/>
        <v>0</v>
      </c>
      <c r="L33" s="53">
        <f t="shared" si="16"/>
        <v>0.05</v>
      </c>
      <c r="M33" s="61">
        <f>SUM(G33:L33)</f>
        <v>4.4900000000000002E-2</v>
      </c>
      <c r="N33" s="19">
        <f>-M33+M32</f>
        <v>4.4999999999996432E-5</v>
      </c>
    </row>
    <row r="34" spans="1:14" hidden="1" x14ac:dyDescent="0.25">
      <c r="A34" s="29"/>
      <c r="B34" s="29"/>
      <c r="C34" s="29"/>
      <c r="D34" s="29"/>
      <c r="E34" s="29"/>
      <c r="F34" s="29"/>
      <c r="G34" s="53">
        <f>IF(G33=MAX($G$32:$L$32),(G33+$N$32),IF(G33&lt;&gt;MAX($G$32:$L$32),G33))</f>
        <v>-1.6000000000000001E-3</v>
      </c>
      <c r="H34" s="53">
        <f t="shared" ref="H34:K34" si="17">IF(H33=MAX($G$32:$L$32),(H33+$N$32),IF(H33&lt;&gt;MAX($G$32:$L$32),H33))</f>
        <v>-1.6999999999999999E-3</v>
      </c>
      <c r="I34" s="53">
        <f t="shared" si="17"/>
        <v>-1.5E-3</v>
      </c>
      <c r="J34" s="53">
        <f t="shared" si="17"/>
        <v>-2.9999999999999997E-4</v>
      </c>
      <c r="K34" s="53">
        <f t="shared" si="17"/>
        <v>0</v>
      </c>
      <c r="L34" s="53">
        <f>IF(L33=MAX($G$17:$L$17),(L33+$M$20),IF(L33&lt;&gt;MAX($G$17:$L$17),L33))</f>
        <v>0.05</v>
      </c>
      <c r="M34" s="53">
        <f>SUM(G34:L34)</f>
        <v>4.4900000000000002E-2</v>
      </c>
    </row>
    <row r="35" spans="1:14" hidden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4" hidden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4" hidden="1" x14ac:dyDescent="0.25">
      <c r="A37" s="29"/>
      <c r="B37" s="29"/>
      <c r="C37" s="29"/>
      <c r="D37" s="29"/>
      <c r="E37" s="29"/>
      <c r="F37" s="29"/>
      <c r="G37" s="52">
        <f>IF($C$4&lt;=$O$10,($C$4)*G12)</f>
        <v>8.4600000000000005E-3</v>
      </c>
      <c r="H37" s="52">
        <f t="shared" ref="H37:J37" si="18">IF($C$4&lt;=$O$10,($C$4)*H12)</f>
        <v>8.6400000000000001E-3</v>
      </c>
      <c r="I37" s="52">
        <f t="shared" si="18"/>
        <v>8.1359999999999991E-3</v>
      </c>
      <c r="J37" s="52">
        <f t="shared" si="18"/>
        <v>1.7639999999999999E-3</v>
      </c>
      <c r="K37" s="52">
        <f>IF($C$4&lt;=$O$10,($C$4)*K12)</f>
        <v>0</v>
      </c>
      <c r="L37" s="52">
        <f>IF($C$4&lt;=$O$10,($C$4)*L12)</f>
        <v>1.7999999999999999E-2</v>
      </c>
      <c r="M37" s="29"/>
    </row>
    <row r="38" spans="1:14" hidden="1" x14ac:dyDescent="0.25">
      <c r="A38" s="29"/>
      <c r="B38" s="29"/>
      <c r="C38" s="29"/>
      <c r="D38" s="29"/>
      <c r="E38" s="29"/>
      <c r="F38" s="29"/>
      <c r="G38" s="52" t="b">
        <f>IF($C$4&gt;$O$10,($C$4-$N$10)*G31)</f>
        <v>0</v>
      </c>
      <c r="H38" s="52" t="b">
        <f t="shared" ref="H38:K38" si="19">IF($C$4&gt;$O$10,($C$4-$N$10)*H31)</f>
        <v>0</v>
      </c>
      <c r="I38" s="52" t="b">
        <f t="shared" si="19"/>
        <v>0</v>
      </c>
      <c r="J38" s="52" t="b">
        <f t="shared" si="19"/>
        <v>0</v>
      </c>
      <c r="K38" s="52" t="b">
        <f t="shared" si="19"/>
        <v>0</v>
      </c>
      <c r="L38" s="29"/>
      <c r="M38" s="29"/>
    </row>
    <row r="39" spans="1:14" hidden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4" hidden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4" hidden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4" hidden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4" hidden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4" hidden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4" hidden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4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4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4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</sheetData>
  <mergeCells count="4">
    <mergeCell ref="B2:B3"/>
    <mergeCell ref="C2:C3"/>
    <mergeCell ref="D2:I2"/>
    <mergeCell ref="G6:L6"/>
  </mergeCells>
  <conditionalFormatting sqref="G20:L20">
    <cfRule type="expression" dxfId="7" priority="4">
      <formula>"SE+$G$19&lt;&gt;0"</formula>
    </cfRule>
  </conditionalFormatting>
  <conditionalFormatting sqref="G20:L20">
    <cfRule type="cellIs" dxfId="6" priority="1" operator="notEqual">
      <formula>0</formula>
    </cfRule>
    <cfRule type="cellIs" dxfId="5" priority="2" operator="lessThan">
      <formula>0</formula>
    </cfRule>
    <cfRule type="cellIs" dxfId="4" priority="3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zoomScaleNormal="100" workbookViewId="0">
      <selection activeCell="B5" sqref="B5"/>
    </sheetView>
  </sheetViews>
  <sheetFormatPr defaultRowHeight="15" x14ac:dyDescent="0.25"/>
  <cols>
    <col min="1" max="1" width="23.7109375" customWidth="1"/>
    <col min="2" max="2" width="21.7109375" bestFit="1" customWidth="1"/>
    <col min="3" max="3" width="15.5703125" bestFit="1" customWidth="1"/>
    <col min="4" max="4" width="13.42578125" bestFit="1" customWidth="1"/>
    <col min="5" max="5" width="13.42578125" customWidth="1"/>
    <col min="6" max="6" width="16.85546875" customWidth="1"/>
    <col min="7" max="12" width="14.28515625" customWidth="1"/>
    <col min="13" max="13" width="8.140625" bestFit="1" customWidth="1"/>
    <col min="14" max="14" width="13.42578125" bestFit="1" customWidth="1"/>
  </cols>
  <sheetData>
    <row r="2" spans="1:12" ht="15.75" x14ac:dyDescent="0.25">
      <c r="B2" s="23" t="s">
        <v>6</v>
      </c>
      <c r="C2" s="24" t="s">
        <v>18</v>
      </c>
      <c r="D2" s="25" t="s">
        <v>19</v>
      </c>
      <c r="E2" s="25"/>
      <c r="F2" s="25"/>
      <c r="G2" s="25"/>
      <c r="H2" s="25"/>
      <c r="I2" s="25"/>
    </row>
    <row r="3" spans="1:12" ht="21" x14ac:dyDescent="0.25">
      <c r="B3" s="41"/>
      <c r="C3" s="42"/>
      <c r="D3" s="43" t="s">
        <v>0</v>
      </c>
      <c r="E3" s="43" t="s">
        <v>1</v>
      </c>
      <c r="F3" s="43" t="s">
        <v>2</v>
      </c>
      <c r="G3" s="43" t="s">
        <v>3</v>
      </c>
      <c r="H3" s="43" t="s">
        <v>4</v>
      </c>
      <c r="I3" s="43" t="s">
        <v>23</v>
      </c>
    </row>
    <row r="4" spans="1:12" ht="31.5" x14ac:dyDescent="0.4">
      <c r="A4" s="44" t="s">
        <v>17</v>
      </c>
      <c r="B4" s="45">
        <v>180000</v>
      </c>
      <c r="C4" s="46">
        <f>D16</f>
        <v>0.155</v>
      </c>
      <c r="D4" s="46">
        <f>G19</f>
        <v>3.8800000000000001E-2</v>
      </c>
      <c r="E4" s="46">
        <f t="shared" ref="E4:I4" si="0">H19</f>
        <v>2.3300000000000001E-2</v>
      </c>
      <c r="F4" s="46">
        <f t="shared" si="0"/>
        <v>2.1899999999999999E-2</v>
      </c>
      <c r="G4" s="46">
        <f t="shared" si="0"/>
        <v>4.7000000000000002E-3</v>
      </c>
      <c r="H4" s="46">
        <f t="shared" si="0"/>
        <v>4.4600000000000001E-2</v>
      </c>
      <c r="I4" s="46">
        <f t="shared" si="0"/>
        <v>2.1700000000000001E-2</v>
      </c>
    </row>
    <row r="5" spans="1:12" ht="26.25" x14ac:dyDescent="0.4">
      <c r="A5" s="26"/>
      <c r="B5" s="28"/>
      <c r="C5" s="27"/>
      <c r="D5" s="27"/>
      <c r="E5" s="27"/>
      <c r="F5" s="27"/>
      <c r="G5" s="27"/>
      <c r="H5" s="27"/>
      <c r="I5" s="27"/>
      <c r="J5" s="29"/>
      <c r="K5" s="29"/>
      <c r="L5" s="29"/>
    </row>
    <row r="6" spans="1:12" ht="32.25" customHeight="1" x14ac:dyDescent="0.25">
      <c r="A6" s="29"/>
      <c r="B6" s="29"/>
      <c r="C6" s="29"/>
      <c r="D6" s="29"/>
      <c r="E6" s="29"/>
      <c r="F6" s="29"/>
      <c r="G6" s="30" t="s">
        <v>21</v>
      </c>
      <c r="H6" s="30"/>
      <c r="I6" s="30"/>
      <c r="J6" s="30"/>
      <c r="K6" s="30"/>
      <c r="L6" s="30"/>
    </row>
    <row r="7" spans="1:12" ht="30" x14ac:dyDescent="0.25">
      <c r="A7" s="29"/>
      <c r="B7" s="31" t="s">
        <v>7</v>
      </c>
      <c r="C7" s="31" t="s">
        <v>8</v>
      </c>
      <c r="D7" s="31" t="s">
        <v>20</v>
      </c>
      <c r="E7" s="31" t="s">
        <v>9</v>
      </c>
      <c r="F7" s="29"/>
      <c r="G7" s="31" t="s">
        <v>0</v>
      </c>
      <c r="H7" s="31" t="s">
        <v>1</v>
      </c>
      <c r="I7" s="31" t="s">
        <v>2</v>
      </c>
      <c r="J7" s="31" t="s">
        <v>3</v>
      </c>
      <c r="K7" s="31" t="s">
        <v>4</v>
      </c>
      <c r="L7" s="31" t="s">
        <v>23</v>
      </c>
    </row>
    <row r="8" spans="1:12" x14ac:dyDescent="0.25">
      <c r="A8" s="32" t="s">
        <v>10</v>
      </c>
      <c r="B8" s="33">
        <v>0</v>
      </c>
      <c r="C8" s="34">
        <v>180000</v>
      </c>
      <c r="D8" s="48">
        <v>0.155</v>
      </c>
      <c r="E8" s="36">
        <v>0</v>
      </c>
      <c r="F8" s="37" t="s">
        <v>10</v>
      </c>
      <c r="G8" s="38">
        <v>0.25</v>
      </c>
      <c r="H8" s="38">
        <v>0.15</v>
      </c>
      <c r="I8" s="38">
        <v>0.14099999999999999</v>
      </c>
      <c r="J8" s="38">
        <v>3.0499999999999999E-2</v>
      </c>
      <c r="K8" s="38">
        <v>0.28849999999999998</v>
      </c>
      <c r="L8" s="38">
        <v>0.14000000000000001</v>
      </c>
    </row>
    <row r="9" spans="1:12" x14ac:dyDescent="0.25">
      <c r="A9" s="32" t="s">
        <v>11</v>
      </c>
      <c r="B9" s="39">
        <v>180000.01</v>
      </c>
      <c r="C9" s="40">
        <v>360000</v>
      </c>
      <c r="D9" s="48">
        <v>0.18</v>
      </c>
      <c r="E9" s="36">
        <v>4500</v>
      </c>
      <c r="F9" s="37" t="s">
        <v>11</v>
      </c>
      <c r="G9" s="38">
        <v>0.23</v>
      </c>
      <c r="H9" s="38">
        <v>0.15</v>
      </c>
      <c r="I9" s="38">
        <v>0.14099999999999999</v>
      </c>
      <c r="J9" s="38">
        <v>3.0499999999999999E-2</v>
      </c>
      <c r="K9" s="38">
        <v>0.27850000000000003</v>
      </c>
      <c r="L9" s="38">
        <v>0.17</v>
      </c>
    </row>
    <row r="10" spans="1:12" x14ac:dyDescent="0.25">
      <c r="A10" s="32" t="s">
        <v>12</v>
      </c>
      <c r="B10" s="39">
        <v>360000.01</v>
      </c>
      <c r="C10" s="40">
        <v>720000</v>
      </c>
      <c r="D10" s="48">
        <v>0.19500000000000001</v>
      </c>
      <c r="E10" s="36">
        <v>9900</v>
      </c>
      <c r="F10" s="37" t="s">
        <v>12</v>
      </c>
      <c r="G10" s="38">
        <v>0.24</v>
      </c>
      <c r="H10" s="38">
        <v>0.15</v>
      </c>
      <c r="I10" s="38">
        <v>0.1492</v>
      </c>
      <c r="J10" s="38">
        <v>3.2300000000000002E-2</v>
      </c>
      <c r="K10" s="38">
        <v>0.23849999999999999</v>
      </c>
      <c r="L10" s="38">
        <v>0.19</v>
      </c>
    </row>
    <row r="11" spans="1:12" x14ac:dyDescent="0.25">
      <c r="A11" s="32" t="s">
        <v>13</v>
      </c>
      <c r="B11" s="39">
        <v>720000.01</v>
      </c>
      <c r="C11" s="40">
        <v>1800000</v>
      </c>
      <c r="D11" s="48">
        <v>0.20499999999999999</v>
      </c>
      <c r="E11" s="36">
        <v>17100</v>
      </c>
      <c r="F11" s="37" t="s">
        <v>13</v>
      </c>
      <c r="G11" s="38">
        <v>0.21</v>
      </c>
      <c r="H11" s="38">
        <v>0.15</v>
      </c>
      <c r="I11" s="38">
        <v>0.15740000000000001</v>
      </c>
      <c r="J11" s="38">
        <v>3.4099999999999998E-2</v>
      </c>
      <c r="K11" s="38">
        <v>0.23849999999999999</v>
      </c>
      <c r="L11" s="38">
        <v>0.21</v>
      </c>
    </row>
    <row r="12" spans="1:12" x14ac:dyDescent="0.25">
      <c r="A12" s="32" t="s">
        <v>14</v>
      </c>
      <c r="B12" s="39">
        <v>1800000.01</v>
      </c>
      <c r="C12" s="40">
        <v>3600000</v>
      </c>
      <c r="D12" s="48">
        <v>0.23</v>
      </c>
      <c r="E12" s="36">
        <v>62100</v>
      </c>
      <c r="F12" s="37" t="s">
        <v>14</v>
      </c>
      <c r="G12" s="38">
        <v>0.23</v>
      </c>
      <c r="H12" s="38">
        <v>0.125</v>
      </c>
      <c r="I12" s="38">
        <v>0.14099999999999999</v>
      </c>
      <c r="J12" s="38">
        <v>3.0499999999999999E-2</v>
      </c>
      <c r="K12" s="38">
        <v>0.23849999999999999</v>
      </c>
      <c r="L12" s="38">
        <v>0.23499999999999999</v>
      </c>
    </row>
    <row r="13" spans="1:12" x14ac:dyDescent="0.25">
      <c r="A13" s="32" t="s">
        <v>15</v>
      </c>
      <c r="B13" s="39">
        <v>3600000.01</v>
      </c>
      <c r="C13" s="40">
        <v>4800000</v>
      </c>
      <c r="D13" s="48">
        <v>0.30499999999999999</v>
      </c>
      <c r="E13" s="36">
        <v>540000</v>
      </c>
      <c r="F13" s="37" t="s">
        <v>15</v>
      </c>
      <c r="G13" s="38">
        <v>0.35</v>
      </c>
      <c r="H13" s="38">
        <v>0.155</v>
      </c>
      <c r="I13" s="38">
        <v>0.16439999999999999</v>
      </c>
      <c r="J13" s="38">
        <v>3.56E-2</v>
      </c>
      <c r="K13" s="38">
        <v>0.29499999999999998</v>
      </c>
      <c r="L13" s="38">
        <v>0</v>
      </c>
    </row>
    <row r="14" spans="1:12" x14ac:dyDescent="0.25">
      <c r="A14" s="32"/>
      <c r="B14" s="49"/>
      <c r="C14" s="50"/>
      <c r="D14" s="29"/>
      <c r="E14" s="29"/>
      <c r="F14" s="29"/>
      <c r="G14" s="29"/>
      <c r="H14" s="29"/>
      <c r="I14" s="29"/>
      <c r="J14" s="29"/>
      <c r="K14" s="29"/>
      <c r="L14" s="29"/>
    </row>
    <row r="15" spans="1:12" hidden="1" x14ac:dyDescent="0.25">
      <c r="A15" s="32" t="s">
        <v>10</v>
      </c>
      <c r="B15" s="49">
        <f t="shared" ref="B15:B20" si="1">IF(AND($B$4&gt;=B8,$B$4&lt;=C8),($B$4*D8-E8)/$B$4)</f>
        <v>0.155</v>
      </c>
      <c r="C15" s="50">
        <f t="shared" ref="C15" si="2">ROUND(B15,5)</f>
        <v>0.155</v>
      </c>
      <c r="D15" s="49">
        <f>IF(AND($B$4&gt;=B8,$B$4&lt;=C8),C15,IF(AND($B$4&gt;=B9,$B$4&lt;=C9),C16,IF(AND($B$4&gt;=B10,$B$4&lt;=C10),C17,IF(AND($B$4&gt;=B11,$B$4&lt;=C11),C18,IF(AND($B$4&gt;=B12,$B$4&lt;=C12),C19,IF(AND($B$4&gt;=B13,$B$4&lt;=C13),C20,IF(AND($B$4&gt;=#REF!,$B$4&lt;=#REF!),#REF!,IF(AND($B$4&gt;#REF!),C21))))))))</f>
        <v>0.155</v>
      </c>
      <c r="E15" s="29"/>
      <c r="F15" s="29"/>
      <c r="G15" s="31" t="s">
        <v>0</v>
      </c>
      <c r="H15" s="31" t="s">
        <v>1</v>
      </c>
      <c r="I15" s="31" t="s">
        <v>2</v>
      </c>
      <c r="J15" s="31" t="s">
        <v>3</v>
      </c>
      <c r="K15" s="31" t="s">
        <v>4</v>
      </c>
      <c r="L15" s="31" t="s">
        <v>23</v>
      </c>
    </row>
    <row r="16" spans="1:12" hidden="1" x14ac:dyDescent="0.25">
      <c r="A16" s="32" t="s">
        <v>11</v>
      </c>
      <c r="B16" s="49" t="b">
        <f t="shared" si="1"/>
        <v>0</v>
      </c>
      <c r="C16" s="50">
        <f>ROUND(B16,5)</f>
        <v>0</v>
      </c>
      <c r="D16" s="49">
        <f>ROUND(D15,4)</f>
        <v>0.155</v>
      </c>
      <c r="E16" s="29"/>
      <c r="F16" s="29"/>
      <c r="G16" s="51">
        <f>IF(AND($B$4&gt;=$B$8,$B$4&lt;=$C$8),$C$4*G8,IF(AND($B$4&gt;=$B$9,$B$4&lt;=$C$9),$C$4*G9,IF(AND($B$4&gt;=$B$10,$B$4&lt;=$C$10),$C$4*G10,IF(AND($B$4&gt;=$B$11,$B$4&lt;=$C$11),$C$4*G11,IF(AND($B$4&gt;=$B$12,$B$4&lt;=$C$12),$C$4*G12,IF(AND($B$4&gt;=$B$13,$B$4&lt;=$C$13),$C$4*G13,IF(AND($B$4&gt;=#REF!,$B$4&lt;=#REF!),$C$4*#REF!,IF(AND($B$4&gt;#REF!),$C$4*#REF!))))))))</f>
        <v>3.875E-2</v>
      </c>
      <c r="H16" s="51">
        <f>IF(AND($B$4&gt;=$B$8,$B$4&lt;=$C$8),$C$4*H8,IF(AND($B$4&gt;=$B$9,$B$4&lt;=$C$9),$C$4*H9,IF(AND($B$4&gt;=$B$10,$B$4&lt;=$C$10),$C$4*H10,IF(AND($B$4&gt;=$B$11,$B$4&lt;=$C$11),$C$4*H11,IF(AND($B$4&gt;=$B$12,$B$4&lt;=$C$12),$C$4*H12,IF(AND($B$4&gt;=$B$13,$B$4&lt;=$C$13),$C$4*H13,IF(AND($B$4&gt;=#REF!,$B$4&lt;=#REF!),$C$4*#REF!,IF(AND($B$4&gt;#REF!),$C$4*#REF!))))))))</f>
        <v>2.325E-2</v>
      </c>
      <c r="I16" s="51">
        <f>IF(AND($B$4&gt;=$B$8,$B$4&lt;=$C$8),$C$4*I8,IF(AND($B$4&gt;=$B$9,$B$4&lt;=$C$9),$C$4*I9,IF(AND($B$4&gt;=$B$10,$B$4&lt;=$C$10),$C$4*I10,IF(AND($B$4&gt;=$B$11,$B$4&lt;=$C$11),$C$4*I11,IF(AND($B$4&gt;=$B$12,$B$4&lt;=$C$12),$C$4*I12,IF(AND($B$4&gt;=$B$13,$B$4&lt;=$C$13),$C$4*I13,IF(AND($B$4&gt;=#REF!,$B$4&lt;=#REF!),$C$4*#REF!,IF(AND($B$4&gt;#REF!),$C$4*#REF!))))))))</f>
        <v>2.1854999999999999E-2</v>
      </c>
      <c r="J16" s="52">
        <f>IF(AND($B$4&gt;=$B$8,$B$4&lt;=$C$8),$C$4*J8,IF(AND($B$4&gt;=$B$9,$B$4&lt;=$C$9),$C$4*J9,IF(AND($B$4&gt;=$B$10,$B$4&lt;=$C$10),$C$4*J10,IF(AND($B$4&gt;=$B$11,$B$4&lt;=$C$11),$C$4*J11,IF(AND($B$4&gt;=$B$12,$B$4&lt;=$C$12),$C$4*J12,IF(AND($B$4&gt;=$B$13,$B$4&lt;=$C$13),$C$4*J13,IF(AND($B$4&gt;=#REF!,$B$4&lt;=#REF!),$C$4*#REF!,IF(AND($B$4&gt;#REF!),$C$4*#REF!))))))))</f>
        <v>4.7274999999999999E-3</v>
      </c>
      <c r="K16" s="51">
        <f>IF(AND($B$4&gt;=$B$8,$B$4&lt;=$C$8),$C$4*K8,IF(AND($B$4&gt;=$B$9,$B$4&lt;=$C$9),$C$4*K9,IF(AND($B$4&gt;=$B$10,$B$4&lt;=$C$10),$C$4*K10,IF(AND($B$4&gt;=$B$11,$B$4&lt;=$C$11),$C$4*K11,IF(AND($B$4&gt;=$B$12,$B$4&lt;=$C$12),$C$4*K12,IF(AND($B$4&gt;=$B$13,$B$4&lt;=$C$13),$C$4*K13,IF(AND($B$4&gt;=#REF!,$B$4&lt;=#REF!),$C$4*#REF!,IF(AND($B$4&gt;#REF!),$C$4*#REF!))))))))</f>
        <v>4.4717499999999993E-2</v>
      </c>
      <c r="L16" s="51">
        <f>IF(AND($B$4&gt;=$B$8,$B$4&lt;=$C$8),$C$4*L8,IF(AND($B$4&gt;=$B$9,$B$4&lt;=$C$9),$C$4*L9,IF(AND($B$4&gt;=$B$10,$B$4&lt;=$C$10),$C$4*L10,IF(AND($B$4&gt;=$B$11,$B$4&lt;=$C$11),$C$4*L11,IF(AND($B$4&gt;=$B$12,$B$4&lt;=$C$12),$C$4*L12,IF(AND($B$4&gt;=$B$13,$B$4&lt;=$C$13),$C$4*L13,IF(AND($B$4&gt;=#REF!,$B$4&lt;=#REF!),$C$4*#REF!,IF(AND($B$4&gt;#REF!),$C$4*#REF!))))))))</f>
        <v>2.1700000000000001E-2</v>
      </c>
    </row>
    <row r="17" spans="1:14" hidden="1" x14ac:dyDescent="0.25">
      <c r="A17" s="32" t="s">
        <v>12</v>
      </c>
      <c r="B17" s="49" t="b">
        <f t="shared" si="1"/>
        <v>0</v>
      </c>
      <c r="C17" s="50">
        <f t="shared" ref="C17:C20" si="3">ROUND(B17,5)</f>
        <v>0</v>
      </c>
      <c r="D17" s="29"/>
      <c r="E17" s="29"/>
      <c r="F17" s="29"/>
      <c r="G17" s="52">
        <f>ROUND(G16,4)</f>
        <v>3.8800000000000001E-2</v>
      </c>
      <c r="H17" s="52">
        <f t="shared" ref="H17:L17" si="4">ROUND(H16,4)</f>
        <v>2.3300000000000001E-2</v>
      </c>
      <c r="I17" s="52">
        <f t="shared" si="4"/>
        <v>2.1899999999999999E-2</v>
      </c>
      <c r="J17" s="52">
        <f t="shared" si="4"/>
        <v>4.7000000000000002E-3</v>
      </c>
      <c r="K17" s="52">
        <f t="shared" si="4"/>
        <v>4.4699999999999997E-2</v>
      </c>
      <c r="L17" s="52">
        <f t="shared" si="4"/>
        <v>2.1700000000000001E-2</v>
      </c>
      <c r="M17" s="3">
        <f>SUM(G17:L17)</f>
        <v>0.15509999999999999</v>
      </c>
    </row>
    <row r="18" spans="1:14" ht="23.25" hidden="1" x14ac:dyDescent="0.35">
      <c r="A18" s="32" t="s">
        <v>13</v>
      </c>
      <c r="B18" s="49" t="b">
        <f t="shared" si="1"/>
        <v>0</v>
      </c>
      <c r="C18" s="50">
        <f t="shared" si="3"/>
        <v>0</v>
      </c>
      <c r="D18" s="29"/>
      <c r="E18" s="29"/>
      <c r="F18" s="29"/>
      <c r="G18" s="53">
        <f t="shared" ref="G18:L18" si="5">IF(G17=MAX($G$17:$L$17),(G17+$M$20),IF(G17&lt;&gt;MAX($G$17:$L$17),G17))</f>
        <v>3.8800000000000001E-2</v>
      </c>
      <c r="H18" s="53">
        <f t="shared" si="5"/>
        <v>2.3300000000000001E-2</v>
      </c>
      <c r="I18" s="53">
        <f t="shared" si="5"/>
        <v>2.1899999999999999E-2</v>
      </c>
      <c r="J18" s="53">
        <f t="shared" si="5"/>
        <v>4.7000000000000002E-3</v>
      </c>
      <c r="K18" s="53">
        <f t="shared" si="5"/>
        <v>4.4600000000000008E-2</v>
      </c>
      <c r="L18" s="53">
        <f t="shared" si="5"/>
        <v>2.1700000000000001E-2</v>
      </c>
      <c r="M18" s="3">
        <f>SUM(G18:L18)</f>
        <v>0.155</v>
      </c>
      <c r="N18" s="12">
        <f>SUM(G18:L18)</f>
        <v>0.155</v>
      </c>
    </row>
    <row r="19" spans="1:14" ht="23.25" hidden="1" x14ac:dyDescent="0.35">
      <c r="A19" s="32" t="s">
        <v>14</v>
      </c>
      <c r="B19" s="49" t="b">
        <f t="shared" si="1"/>
        <v>0</v>
      </c>
      <c r="C19" s="50">
        <f t="shared" si="3"/>
        <v>0</v>
      </c>
      <c r="D19" s="29"/>
      <c r="E19" s="29"/>
      <c r="F19" s="29"/>
      <c r="G19" s="53">
        <f>ROUND(G18,4)</f>
        <v>3.8800000000000001E-2</v>
      </c>
      <c r="H19" s="53">
        <f t="shared" ref="H19:L19" si="6">ROUND(H18,4)</f>
        <v>2.3300000000000001E-2</v>
      </c>
      <c r="I19" s="53">
        <f t="shared" si="6"/>
        <v>2.1899999999999999E-2</v>
      </c>
      <c r="J19" s="53">
        <f t="shared" si="6"/>
        <v>4.7000000000000002E-3</v>
      </c>
      <c r="K19" s="53">
        <f t="shared" si="6"/>
        <v>4.4600000000000001E-2</v>
      </c>
      <c r="L19" s="53">
        <f t="shared" si="6"/>
        <v>2.1700000000000001E-2</v>
      </c>
      <c r="N19" s="7" t="str">
        <f>IF(C4=N18,"OK")</f>
        <v>OK</v>
      </c>
    </row>
    <row r="20" spans="1:14" hidden="1" x14ac:dyDescent="0.25">
      <c r="A20" s="32" t="s">
        <v>15</v>
      </c>
      <c r="B20" s="49" t="b">
        <f t="shared" si="1"/>
        <v>0</v>
      </c>
      <c r="C20" s="50">
        <f t="shared" si="3"/>
        <v>0</v>
      </c>
      <c r="D20" s="29"/>
      <c r="E20" s="29"/>
      <c r="F20" s="29"/>
      <c r="G20" s="53">
        <f>G19-G17</f>
        <v>0</v>
      </c>
      <c r="H20" s="53">
        <f t="shared" ref="H20:L20" si="7">H19-H17</f>
        <v>0</v>
      </c>
      <c r="I20" s="53">
        <f t="shared" si="7"/>
        <v>0</v>
      </c>
      <c r="J20" s="53">
        <f t="shared" si="7"/>
        <v>0</v>
      </c>
      <c r="K20" s="53">
        <f t="shared" si="7"/>
        <v>-9.9999999999995925E-5</v>
      </c>
      <c r="L20" s="53">
        <f t="shared" si="7"/>
        <v>0</v>
      </c>
      <c r="M20" s="3">
        <f>C4-M17</f>
        <v>-9.9999999999988987E-5</v>
      </c>
    </row>
    <row r="21" spans="1:14" hidden="1" x14ac:dyDescent="0.25">
      <c r="A21" s="32"/>
      <c r="B21" s="49"/>
      <c r="C21" s="50"/>
      <c r="D21" s="29"/>
      <c r="E21" s="29"/>
      <c r="F21" s="29"/>
      <c r="G21" s="29"/>
      <c r="H21" s="29"/>
      <c r="I21" s="29"/>
      <c r="J21" s="29"/>
      <c r="K21" s="29"/>
      <c r="L21" s="29"/>
    </row>
    <row r="22" spans="1:14" hidden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4" hidden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4" hidden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4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4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4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4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4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4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4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4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</sheetData>
  <mergeCells count="4">
    <mergeCell ref="B2:B3"/>
    <mergeCell ref="C2:C3"/>
    <mergeCell ref="D2:I2"/>
    <mergeCell ref="G6:L6"/>
  </mergeCells>
  <conditionalFormatting sqref="G20:L20">
    <cfRule type="expression" dxfId="3" priority="4">
      <formula>"SE+$G$19&lt;&gt;0"</formula>
    </cfRule>
  </conditionalFormatting>
  <conditionalFormatting sqref="G20:L20">
    <cfRule type="cellIs" dxfId="2" priority="1" operator="not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 - COMERCIO</vt:lpstr>
      <vt:lpstr>II - INDÚSTRIA</vt:lpstr>
      <vt:lpstr>III - SERVIÇOS</vt:lpstr>
      <vt:lpstr>IV - CONSTRUÇÃO CIVIL</vt:lpstr>
      <vt:lpstr>V - SERVIÇOS INTELECTUAIS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SILAS SANTIAGO</dc:creator>
  <cp:lastModifiedBy>Empreendedorismo</cp:lastModifiedBy>
  <dcterms:created xsi:type="dcterms:W3CDTF">2015-03-08T09:25:42Z</dcterms:created>
  <dcterms:modified xsi:type="dcterms:W3CDTF">2019-04-23T18:28:37Z</dcterms:modified>
</cp:coreProperties>
</file>